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613"/>
  <workbookPr showInkAnnotation="0" hidePivotFieldList="1" autoCompressPictures="0"/>
  <bookViews>
    <workbookView xWindow="12060" yWindow="4240" windowWidth="33160" windowHeight="20520" tabRatio="812" firstSheet="1" activeTab="1"/>
  </bookViews>
  <sheets>
    <sheet name="Info" sheetId="2" state="hidden" r:id="rId1"/>
    <sheet name="Data" sheetId="1" r:id="rId2"/>
    <sheet name="Summary " sheetId="25" r:id="rId3"/>
    <sheet name="Sample Budget" sheetId="26" state="hidden" r:id="rId4"/>
    <sheet name="Goal Calculation" sheetId="22" r:id="rId5"/>
    <sheet name="Goals" sheetId="33" state="hidden" r:id="rId6"/>
    <sheet name="pledge category chart" sheetId="28" state="hidden" r:id="rId7"/>
    <sheet name="avg pledge per backer" sheetId="29" r:id="rId8"/>
    <sheet name="distribution" sheetId="30" state="hidden" r:id="rId9"/>
  </sheets>
  <definedNames>
    <definedName name="dfz9a9lbjsxq" localSheetId="5">Goals!$B$25</definedName>
    <definedName name="dfz9a9lbjsxq">'Goal Calculation'!$B$25</definedName>
    <definedName name="dzi5xgvtauvi" localSheetId="5">Goals!$B$25</definedName>
    <definedName name="dzi5xgvtauvi">'Goal Calculation'!$B$25</definedName>
    <definedName name="to0ta6pe4jic" localSheetId="5">Goals!$B$25</definedName>
    <definedName name="to0ta6pe4jic">'Goal Calculation'!$B$25</definedName>
  </definedNames>
  <calcPr calcId="140000" concurrentCalc="0"/>
  <pivotCaches>
    <pivotCache cacheId="24" r:id="rId10"/>
  </pivotCaches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25" i="33" l="1"/>
  <c r="C24" i="33"/>
  <c r="C23" i="33"/>
  <c r="K19" i="33"/>
  <c r="I19" i="33"/>
  <c r="G19" i="33"/>
  <c r="C19" i="33"/>
  <c r="K18" i="33"/>
  <c r="I18" i="33"/>
  <c r="G18" i="33"/>
  <c r="K17" i="33"/>
  <c r="I17" i="33"/>
  <c r="G17" i="33"/>
  <c r="C17" i="33"/>
  <c r="K16" i="33"/>
  <c r="I16" i="33"/>
  <c r="G16" i="33"/>
  <c r="K15" i="33"/>
  <c r="J15" i="33"/>
  <c r="I15" i="33"/>
  <c r="H15" i="33"/>
  <c r="G15" i="33"/>
  <c r="F15" i="33"/>
  <c r="J14" i="33"/>
  <c r="H14" i="33"/>
  <c r="F14" i="33"/>
  <c r="E14" i="33"/>
  <c r="K13" i="33"/>
  <c r="J13" i="33"/>
  <c r="I13" i="33"/>
  <c r="H13" i="33"/>
  <c r="G13" i="33"/>
  <c r="F13" i="33"/>
  <c r="E13" i="33"/>
  <c r="D13" i="33"/>
  <c r="K12" i="33"/>
  <c r="J12" i="33"/>
  <c r="I12" i="33"/>
  <c r="H12" i="33"/>
  <c r="G12" i="33"/>
  <c r="F12" i="33"/>
  <c r="E12" i="33"/>
  <c r="D12" i="33"/>
  <c r="K11" i="33"/>
  <c r="J11" i="33"/>
  <c r="I11" i="33"/>
  <c r="H11" i="33"/>
  <c r="G11" i="33"/>
  <c r="F11" i="33"/>
  <c r="E11" i="33"/>
  <c r="D11" i="33"/>
  <c r="K10" i="33"/>
  <c r="J10" i="33"/>
  <c r="I10" i="33"/>
  <c r="H10" i="33"/>
  <c r="G10" i="33"/>
  <c r="F10" i="33"/>
  <c r="E10" i="33"/>
  <c r="D10" i="33"/>
  <c r="K9" i="33"/>
  <c r="J9" i="33"/>
  <c r="I9" i="33"/>
  <c r="H9" i="33"/>
  <c r="G9" i="33"/>
  <c r="F9" i="33"/>
  <c r="E9" i="33"/>
  <c r="D9" i="33"/>
  <c r="K8" i="33"/>
  <c r="J8" i="33"/>
  <c r="I8" i="33"/>
  <c r="H8" i="33"/>
  <c r="G8" i="33"/>
  <c r="F8" i="33"/>
  <c r="E8" i="33"/>
  <c r="D8" i="33"/>
  <c r="K7" i="33"/>
  <c r="J7" i="33"/>
  <c r="I7" i="33"/>
  <c r="H7" i="33"/>
  <c r="G7" i="33"/>
  <c r="F7" i="33"/>
  <c r="E7" i="33"/>
  <c r="D7" i="33"/>
  <c r="K6" i="33"/>
  <c r="J6" i="33"/>
  <c r="I6" i="33"/>
  <c r="H6" i="33"/>
  <c r="G6" i="33"/>
  <c r="F6" i="33"/>
  <c r="E6" i="33"/>
  <c r="D6" i="33"/>
  <c r="K5" i="33"/>
  <c r="J5" i="33"/>
  <c r="I5" i="33"/>
  <c r="H5" i="33"/>
  <c r="G5" i="33"/>
  <c r="F5" i="33"/>
  <c r="E5" i="33"/>
  <c r="D5" i="33"/>
  <c r="K4" i="33"/>
  <c r="J4" i="33"/>
  <c r="I4" i="33"/>
  <c r="H4" i="33"/>
  <c r="G4" i="33"/>
  <c r="F4" i="33"/>
  <c r="E4" i="33"/>
  <c r="D4" i="33"/>
  <c r="J2" i="33"/>
  <c r="H2" i="33"/>
  <c r="F2" i="33"/>
  <c r="C25" i="22"/>
  <c r="C24" i="22"/>
  <c r="C23" i="22"/>
  <c r="K19" i="22"/>
  <c r="I19" i="22"/>
  <c r="G19" i="22"/>
  <c r="C19" i="22"/>
  <c r="K18" i="22"/>
  <c r="I18" i="22"/>
  <c r="G18" i="22"/>
  <c r="K17" i="22"/>
  <c r="I17" i="22"/>
  <c r="G17" i="22"/>
  <c r="C17" i="22"/>
  <c r="K16" i="22"/>
  <c r="I16" i="22"/>
  <c r="G16" i="22"/>
  <c r="K15" i="22"/>
  <c r="J15" i="22"/>
  <c r="I15" i="22"/>
  <c r="H15" i="22"/>
  <c r="G15" i="22"/>
  <c r="F15" i="22"/>
  <c r="J14" i="22"/>
  <c r="H14" i="22"/>
  <c r="F14" i="22"/>
  <c r="E14" i="22"/>
  <c r="K13" i="22"/>
  <c r="J13" i="22"/>
  <c r="I13" i="22"/>
  <c r="H13" i="22"/>
  <c r="G13" i="22"/>
  <c r="F13" i="22"/>
  <c r="E13" i="22"/>
  <c r="D13" i="22"/>
  <c r="K12" i="22"/>
  <c r="J12" i="22"/>
  <c r="I12" i="22"/>
  <c r="H12" i="22"/>
  <c r="G12" i="22"/>
  <c r="F12" i="22"/>
  <c r="E12" i="22"/>
  <c r="D12" i="22"/>
  <c r="K11" i="22"/>
  <c r="J11" i="22"/>
  <c r="I11" i="22"/>
  <c r="H11" i="22"/>
  <c r="G11" i="22"/>
  <c r="F11" i="22"/>
  <c r="E11" i="22"/>
  <c r="D11" i="22"/>
  <c r="K10" i="22"/>
  <c r="J10" i="22"/>
  <c r="I10" i="22"/>
  <c r="H10" i="22"/>
  <c r="G10" i="22"/>
  <c r="F10" i="22"/>
  <c r="E10" i="22"/>
  <c r="D10" i="22"/>
  <c r="K9" i="22"/>
  <c r="J9" i="22"/>
  <c r="I9" i="22"/>
  <c r="H9" i="22"/>
  <c r="G9" i="22"/>
  <c r="F9" i="22"/>
  <c r="E9" i="22"/>
  <c r="D9" i="22"/>
  <c r="K8" i="22"/>
  <c r="J8" i="22"/>
  <c r="I8" i="22"/>
  <c r="H8" i="22"/>
  <c r="G8" i="22"/>
  <c r="F8" i="22"/>
  <c r="E8" i="22"/>
  <c r="D8" i="22"/>
  <c r="K7" i="22"/>
  <c r="J7" i="22"/>
  <c r="I7" i="22"/>
  <c r="H7" i="22"/>
  <c r="G7" i="22"/>
  <c r="F7" i="22"/>
  <c r="E7" i="22"/>
  <c r="D7" i="22"/>
  <c r="K6" i="22"/>
  <c r="J6" i="22"/>
  <c r="I6" i="22"/>
  <c r="H6" i="22"/>
  <c r="G6" i="22"/>
  <c r="F6" i="22"/>
  <c r="E6" i="22"/>
  <c r="D6" i="22"/>
  <c r="K5" i="22"/>
  <c r="J5" i="22"/>
  <c r="I5" i="22"/>
  <c r="H5" i="22"/>
  <c r="G5" i="22"/>
  <c r="F5" i="22"/>
  <c r="E5" i="22"/>
  <c r="D5" i="22"/>
  <c r="K4" i="22"/>
  <c r="J4" i="22"/>
  <c r="I4" i="22"/>
  <c r="H4" i="22"/>
  <c r="G4" i="22"/>
  <c r="F4" i="22"/>
  <c r="E4" i="22"/>
  <c r="D4" i="22"/>
  <c r="J2" i="22"/>
  <c r="H2" i="22"/>
  <c r="F2" i="22"/>
  <c r="B15" i="26"/>
  <c r="B13" i="26"/>
  <c r="L105" i="1"/>
  <c r="DB104" i="1"/>
  <c r="DA104" i="1"/>
  <c r="CZ104" i="1"/>
  <c r="CY104" i="1"/>
  <c r="CX104" i="1"/>
  <c r="CW104" i="1"/>
  <c r="CV104" i="1"/>
  <c r="CU104" i="1"/>
  <c r="CT104" i="1"/>
  <c r="CS104" i="1"/>
  <c r="CR104" i="1"/>
  <c r="M104" i="1"/>
  <c r="K104" i="1"/>
  <c r="DB103" i="1"/>
  <c r="DA103" i="1"/>
  <c r="CZ103" i="1"/>
  <c r="CY103" i="1"/>
  <c r="CX103" i="1"/>
  <c r="CW103" i="1"/>
  <c r="CV103" i="1"/>
  <c r="CU103" i="1"/>
  <c r="CT103" i="1"/>
  <c r="CS103" i="1"/>
  <c r="CR103" i="1"/>
  <c r="CQ103" i="1"/>
  <c r="CP103" i="1"/>
  <c r="CO103" i="1"/>
  <c r="CN103" i="1"/>
  <c r="CM103" i="1"/>
  <c r="CL103" i="1"/>
  <c r="CK103" i="1"/>
  <c r="CJ103" i="1"/>
  <c r="CI103" i="1"/>
  <c r="H103" i="1"/>
  <c r="DB102" i="1"/>
  <c r="DA102" i="1"/>
  <c r="CZ102" i="1"/>
  <c r="CY102" i="1"/>
  <c r="CX102" i="1"/>
  <c r="CW102" i="1"/>
  <c r="CV102" i="1"/>
  <c r="CU102" i="1"/>
  <c r="CT102" i="1"/>
  <c r="CS102" i="1"/>
  <c r="CR102" i="1"/>
  <c r="CQ102" i="1"/>
  <c r="CP102" i="1"/>
  <c r="CO102" i="1"/>
  <c r="CN102" i="1"/>
  <c r="CM102" i="1"/>
  <c r="CL102" i="1"/>
  <c r="CK102" i="1"/>
  <c r="CJ102" i="1"/>
  <c r="CI102" i="1"/>
  <c r="H102" i="1"/>
  <c r="DB101" i="1"/>
  <c r="DA101" i="1"/>
  <c r="CZ101" i="1"/>
  <c r="CY101" i="1"/>
  <c r="CX101" i="1"/>
  <c r="CW101" i="1"/>
  <c r="CV101" i="1"/>
  <c r="CU101" i="1"/>
  <c r="CT101" i="1"/>
  <c r="CS101" i="1"/>
  <c r="CR101" i="1"/>
  <c r="CQ101" i="1"/>
  <c r="CP101" i="1"/>
  <c r="CO101" i="1"/>
  <c r="CN101" i="1"/>
  <c r="CM101" i="1"/>
  <c r="CL101" i="1"/>
  <c r="CK101" i="1"/>
  <c r="CJ101" i="1"/>
  <c r="CI101" i="1"/>
  <c r="H101" i="1"/>
  <c r="DB100" i="1"/>
  <c r="DA100" i="1"/>
  <c r="CZ100" i="1"/>
  <c r="CY100" i="1"/>
  <c r="CX100" i="1"/>
  <c r="CW100" i="1"/>
  <c r="CV100" i="1"/>
  <c r="CU100" i="1"/>
  <c r="CT100" i="1"/>
  <c r="CS100" i="1"/>
  <c r="CR100" i="1"/>
  <c r="CQ100" i="1"/>
  <c r="CP100" i="1"/>
  <c r="CO100" i="1"/>
  <c r="CN100" i="1"/>
  <c r="CM100" i="1"/>
  <c r="CL100" i="1"/>
  <c r="CK100" i="1"/>
  <c r="CJ100" i="1"/>
  <c r="CI100" i="1"/>
  <c r="H100" i="1"/>
  <c r="DB99" i="1"/>
  <c r="DA99" i="1"/>
  <c r="CZ99" i="1"/>
  <c r="CY99" i="1"/>
  <c r="CX99" i="1"/>
  <c r="CW99" i="1"/>
  <c r="CV99" i="1"/>
  <c r="CU99" i="1"/>
  <c r="CT99" i="1"/>
  <c r="CS99" i="1"/>
  <c r="CR99" i="1"/>
  <c r="CQ99" i="1"/>
  <c r="CP99" i="1"/>
  <c r="CO99" i="1"/>
  <c r="CN99" i="1"/>
  <c r="CM99" i="1"/>
  <c r="CL99" i="1"/>
  <c r="CK99" i="1"/>
  <c r="CJ99" i="1"/>
  <c r="CI99" i="1"/>
  <c r="H99" i="1"/>
  <c r="DB98" i="1"/>
  <c r="DA98" i="1"/>
  <c r="CZ98" i="1"/>
  <c r="CY98" i="1"/>
  <c r="CX98" i="1"/>
  <c r="CW98" i="1"/>
  <c r="CV98" i="1"/>
  <c r="CU98" i="1"/>
  <c r="CT98" i="1"/>
  <c r="CS98" i="1"/>
  <c r="CR98" i="1"/>
  <c r="CQ98" i="1"/>
  <c r="CP98" i="1"/>
  <c r="CO98" i="1"/>
  <c r="CN98" i="1"/>
  <c r="CM98" i="1"/>
  <c r="CL98" i="1"/>
  <c r="CK98" i="1"/>
  <c r="CJ98" i="1"/>
  <c r="CI98" i="1"/>
  <c r="H98" i="1"/>
  <c r="DB97" i="1"/>
  <c r="DA97" i="1"/>
  <c r="CZ97" i="1"/>
  <c r="CY97" i="1"/>
  <c r="CX97" i="1"/>
  <c r="CW97" i="1"/>
  <c r="CV97" i="1"/>
  <c r="CU97" i="1"/>
  <c r="CT97" i="1"/>
  <c r="CS97" i="1"/>
  <c r="CR97" i="1"/>
  <c r="CQ97" i="1"/>
  <c r="CP97" i="1"/>
  <c r="CO97" i="1"/>
  <c r="CN97" i="1"/>
  <c r="CM97" i="1"/>
  <c r="CL97" i="1"/>
  <c r="CK97" i="1"/>
  <c r="CJ97" i="1"/>
  <c r="CI97" i="1"/>
  <c r="H97" i="1"/>
  <c r="DB96" i="1"/>
  <c r="DA96" i="1"/>
  <c r="CZ96" i="1"/>
  <c r="CY96" i="1"/>
  <c r="CX96" i="1"/>
  <c r="CW96" i="1"/>
  <c r="CV96" i="1"/>
  <c r="CU96" i="1"/>
  <c r="CT96" i="1"/>
  <c r="CS96" i="1"/>
  <c r="CR96" i="1"/>
  <c r="CQ96" i="1"/>
  <c r="CP96" i="1"/>
  <c r="CO96" i="1"/>
  <c r="CN96" i="1"/>
  <c r="CM96" i="1"/>
  <c r="CL96" i="1"/>
  <c r="CK96" i="1"/>
  <c r="CJ96" i="1"/>
  <c r="CI96" i="1"/>
  <c r="H96" i="1"/>
  <c r="DB95" i="1"/>
  <c r="DA95" i="1"/>
  <c r="CZ95" i="1"/>
  <c r="CY95" i="1"/>
  <c r="CX95" i="1"/>
  <c r="CW95" i="1"/>
  <c r="CV95" i="1"/>
  <c r="CU95" i="1"/>
  <c r="CT95" i="1"/>
  <c r="CS95" i="1"/>
  <c r="CR95" i="1"/>
  <c r="CQ95" i="1"/>
  <c r="CP95" i="1"/>
  <c r="CO95" i="1"/>
  <c r="CN95" i="1"/>
  <c r="CM95" i="1"/>
  <c r="CL95" i="1"/>
  <c r="CK95" i="1"/>
  <c r="CJ95" i="1"/>
  <c r="CI95" i="1"/>
  <c r="H95" i="1"/>
  <c r="DB94" i="1"/>
  <c r="DA94" i="1"/>
  <c r="CZ94" i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H94" i="1"/>
  <c r="DB93" i="1"/>
  <c r="DA93" i="1"/>
  <c r="CZ93" i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H93" i="1"/>
  <c r="DB92" i="1"/>
  <c r="DA92" i="1"/>
  <c r="CZ92" i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H92" i="1"/>
  <c r="DB91" i="1"/>
  <c r="DA91" i="1"/>
  <c r="CZ91" i="1"/>
  <c r="CY91" i="1"/>
  <c r="CX91" i="1"/>
  <c r="CW91" i="1"/>
  <c r="CV91" i="1"/>
  <c r="CU91" i="1"/>
  <c r="CT91" i="1"/>
  <c r="CS91" i="1"/>
  <c r="CR91" i="1"/>
  <c r="CQ91" i="1"/>
  <c r="CP91" i="1"/>
  <c r="CO91" i="1"/>
  <c r="CN91" i="1"/>
  <c r="CM91" i="1"/>
  <c r="CL91" i="1"/>
  <c r="CK91" i="1"/>
  <c r="CJ91" i="1"/>
  <c r="CI91" i="1"/>
  <c r="H91" i="1"/>
  <c r="DB90" i="1"/>
  <c r="DA90" i="1"/>
  <c r="CZ90" i="1"/>
  <c r="CY90" i="1"/>
  <c r="CX90" i="1"/>
  <c r="CW90" i="1"/>
  <c r="CV90" i="1"/>
  <c r="CU90" i="1"/>
  <c r="CT90" i="1"/>
  <c r="CS90" i="1"/>
  <c r="CR90" i="1"/>
  <c r="CQ90" i="1"/>
  <c r="CP90" i="1"/>
  <c r="CO90" i="1"/>
  <c r="CN90" i="1"/>
  <c r="CM90" i="1"/>
  <c r="CL90" i="1"/>
  <c r="CK90" i="1"/>
  <c r="CJ90" i="1"/>
  <c r="CI90" i="1"/>
  <c r="H90" i="1"/>
  <c r="DB89" i="1"/>
  <c r="DA89" i="1"/>
  <c r="CZ89" i="1"/>
  <c r="CY89" i="1"/>
  <c r="CX89" i="1"/>
  <c r="CW89" i="1"/>
  <c r="CV89" i="1"/>
  <c r="CU89" i="1"/>
  <c r="CT89" i="1"/>
  <c r="CS89" i="1"/>
  <c r="CR89" i="1"/>
  <c r="CQ89" i="1"/>
  <c r="CP89" i="1"/>
  <c r="CO89" i="1"/>
  <c r="CN89" i="1"/>
  <c r="CM89" i="1"/>
  <c r="CL89" i="1"/>
  <c r="CK89" i="1"/>
  <c r="CJ89" i="1"/>
  <c r="CI89" i="1"/>
  <c r="H89" i="1"/>
  <c r="DB88" i="1"/>
  <c r="DA88" i="1"/>
  <c r="CZ88" i="1"/>
  <c r="CY88" i="1"/>
  <c r="CX88" i="1"/>
  <c r="CW88" i="1"/>
  <c r="CV88" i="1"/>
  <c r="CU88" i="1"/>
  <c r="CT88" i="1"/>
  <c r="CS88" i="1"/>
  <c r="CR88" i="1"/>
  <c r="CQ88" i="1"/>
  <c r="CP88" i="1"/>
  <c r="CO88" i="1"/>
  <c r="CN88" i="1"/>
  <c r="CM88" i="1"/>
  <c r="CL88" i="1"/>
  <c r="CK88" i="1"/>
  <c r="CJ88" i="1"/>
  <c r="CI88" i="1"/>
  <c r="H88" i="1"/>
  <c r="DB87" i="1"/>
  <c r="DA87" i="1"/>
  <c r="CZ87" i="1"/>
  <c r="CY87" i="1"/>
  <c r="CX87" i="1"/>
  <c r="CW87" i="1"/>
  <c r="CV87" i="1"/>
  <c r="CU87" i="1"/>
  <c r="CT87" i="1"/>
  <c r="CS87" i="1"/>
  <c r="CR87" i="1"/>
  <c r="CQ87" i="1"/>
  <c r="CP87" i="1"/>
  <c r="CO87" i="1"/>
  <c r="CN87" i="1"/>
  <c r="CM87" i="1"/>
  <c r="CL87" i="1"/>
  <c r="CK87" i="1"/>
  <c r="CJ87" i="1"/>
  <c r="CI87" i="1"/>
  <c r="H87" i="1"/>
  <c r="DB86" i="1"/>
  <c r="DA86" i="1"/>
  <c r="CZ86" i="1"/>
  <c r="CY86" i="1"/>
  <c r="CX86" i="1"/>
  <c r="CW86" i="1"/>
  <c r="CV86" i="1"/>
  <c r="CU86" i="1"/>
  <c r="CT86" i="1"/>
  <c r="CS86" i="1"/>
  <c r="CR86" i="1"/>
  <c r="CQ86" i="1"/>
  <c r="CP86" i="1"/>
  <c r="CO86" i="1"/>
  <c r="CN86" i="1"/>
  <c r="CM86" i="1"/>
  <c r="CL86" i="1"/>
  <c r="CK86" i="1"/>
  <c r="CJ86" i="1"/>
  <c r="CI86" i="1"/>
  <c r="H86" i="1"/>
  <c r="DB85" i="1"/>
  <c r="DA85" i="1"/>
  <c r="CZ85" i="1"/>
  <c r="CY85" i="1"/>
  <c r="CX85" i="1"/>
  <c r="CW85" i="1"/>
  <c r="CV85" i="1"/>
  <c r="CU85" i="1"/>
  <c r="CT85" i="1"/>
  <c r="CS85" i="1"/>
  <c r="CR85" i="1"/>
  <c r="CQ85" i="1"/>
  <c r="CP85" i="1"/>
  <c r="CO85" i="1"/>
  <c r="CN85" i="1"/>
  <c r="CM85" i="1"/>
  <c r="CL85" i="1"/>
  <c r="CK85" i="1"/>
  <c r="CJ85" i="1"/>
  <c r="CI85" i="1"/>
  <c r="H85" i="1"/>
  <c r="DB84" i="1"/>
  <c r="DA84" i="1"/>
  <c r="CZ84" i="1"/>
  <c r="CY84" i="1"/>
  <c r="CX84" i="1"/>
  <c r="CW84" i="1"/>
  <c r="CV84" i="1"/>
  <c r="CU84" i="1"/>
  <c r="CT84" i="1"/>
  <c r="CS84" i="1"/>
  <c r="CR84" i="1"/>
  <c r="CQ84" i="1"/>
  <c r="CP84" i="1"/>
  <c r="CO84" i="1"/>
  <c r="CN84" i="1"/>
  <c r="CM84" i="1"/>
  <c r="CL84" i="1"/>
  <c r="CK84" i="1"/>
  <c r="CJ84" i="1"/>
  <c r="CI84" i="1"/>
  <c r="H84" i="1"/>
  <c r="DB83" i="1"/>
  <c r="DA83" i="1"/>
  <c r="CZ83" i="1"/>
  <c r="CY83" i="1"/>
  <c r="CX83" i="1"/>
  <c r="CW83" i="1"/>
  <c r="CV83" i="1"/>
  <c r="CU83" i="1"/>
  <c r="CT83" i="1"/>
  <c r="CS83" i="1"/>
  <c r="CR83" i="1"/>
  <c r="CQ83" i="1"/>
  <c r="CP83" i="1"/>
  <c r="CO83" i="1"/>
  <c r="CN83" i="1"/>
  <c r="CM83" i="1"/>
  <c r="CL83" i="1"/>
  <c r="CK83" i="1"/>
  <c r="CJ83" i="1"/>
  <c r="CI83" i="1"/>
  <c r="H83" i="1"/>
  <c r="DB82" i="1"/>
  <c r="DA82" i="1"/>
  <c r="CZ82" i="1"/>
  <c r="CY82" i="1"/>
  <c r="CX82" i="1"/>
  <c r="CW82" i="1"/>
  <c r="CV82" i="1"/>
  <c r="CU82" i="1"/>
  <c r="CT82" i="1"/>
  <c r="CS82" i="1"/>
  <c r="CR82" i="1"/>
  <c r="CQ82" i="1"/>
  <c r="CP82" i="1"/>
  <c r="CO82" i="1"/>
  <c r="CN82" i="1"/>
  <c r="CM82" i="1"/>
  <c r="CL82" i="1"/>
  <c r="CK82" i="1"/>
  <c r="CJ82" i="1"/>
  <c r="CI82" i="1"/>
  <c r="H82" i="1"/>
  <c r="DB81" i="1"/>
  <c r="DA81" i="1"/>
  <c r="CZ81" i="1"/>
  <c r="CY81" i="1"/>
  <c r="CX81" i="1"/>
  <c r="CW81" i="1"/>
  <c r="CV81" i="1"/>
  <c r="CU81" i="1"/>
  <c r="CT81" i="1"/>
  <c r="CS81" i="1"/>
  <c r="CR81" i="1"/>
  <c r="CQ81" i="1"/>
  <c r="CP81" i="1"/>
  <c r="CO81" i="1"/>
  <c r="CN81" i="1"/>
  <c r="CM81" i="1"/>
  <c r="CL81" i="1"/>
  <c r="CK81" i="1"/>
  <c r="CJ81" i="1"/>
  <c r="CI81" i="1"/>
  <c r="H81" i="1"/>
  <c r="DB80" i="1"/>
  <c r="DA80" i="1"/>
  <c r="CZ80" i="1"/>
  <c r="CY80" i="1"/>
  <c r="CX80" i="1"/>
  <c r="CW80" i="1"/>
  <c r="CV80" i="1"/>
  <c r="CU80" i="1"/>
  <c r="CT80" i="1"/>
  <c r="CS80" i="1"/>
  <c r="CR80" i="1"/>
  <c r="CQ80" i="1"/>
  <c r="CP80" i="1"/>
  <c r="CO80" i="1"/>
  <c r="CN80" i="1"/>
  <c r="CM80" i="1"/>
  <c r="CL80" i="1"/>
  <c r="CK80" i="1"/>
  <c r="CJ80" i="1"/>
  <c r="CI80" i="1"/>
  <c r="H80" i="1"/>
  <c r="DB79" i="1"/>
  <c r="DA79" i="1"/>
  <c r="CZ79" i="1"/>
  <c r="CY79" i="1"/>
  <c r="CX79" i="1"/>
  <c r="CW79" i="1"/>
  <c r="CV79" i="1"/>
  <c r="CU79" i="1"/>
  <c r="CT79" i="1"/>
  <c r="CS79" i="1"/>
  <c r="CR79" i="1"/>
  <c r="CQ79" i="1"/>
  <c r="CP79" i="1"/>
  <c r="CO79" i="1"/>
  <c r="CN79" i="1"/>
  <c r="CM79" i="1"/>
  <c r="CL79" i="1"/>
  <c r="CK79" i="1"/>
  <c r="CJ79" i="1"/>
  <c r="CI79" i="1"/>
  <c r="H79" i="1"/>
  <c r="DB78" i="1"/>
  <c r="DA78" i="1"/>
  <c r="CZ78" i="1"/>
  <c r="CY78" i="1"/>
  <c r="CX78" i="1"/>
  <c r="CW78" i="1"/>
  <c r="CV78" i="1"/>
  <c r="CU78" i="1"/>
  <c r="CT78" i="1"/>
  <c r="CS78" i="1"/>
  <c r="CR78" i="1"/>
  <c r="CQ78" i="1"/>
  <c r="CP78" i="1"/>
  <c r="CO78" i="1"/>
  <c r="CN78" i="1"/>
  <c r="CM78" i="1"/>
  <c r="CL78" i="1"/>
  <c r="CK78" i="1"/>
  <c r="CJ78" i="1"/>
  <c r="CI78" i="1"/>
  <c r="H78" i="1"/>
  <c r="DB77" i="1"/>
  <c r="DA77" i="1"/>
  <c r="CZ77" i="1"/>
  <c r="CY77" i="1"/>
  <c r="CX77" i="1"/>
  <c r="CW77" i="1"/>
  <c r="CV77" i="1"/>
  <c r="CU77" i="1"/>
  <c r="CT77" i="1"/>
  <c r="CS77" i="1"/>
  <c r="CR77" i="1"/>
  <c r="CQ77" i="1"/>
  <c r="CP77" i="1"/>
  <c r="CO77" i="1"/>
  <c r="CN77" i="1"/>
  <c r="CM77" i="1"/>
  <c r="CL77" i="1"/>
  <c r="CK77" i="1"/>
  <c r="CJ77" i="1"/>
  <c r="CI77" i="1"/>
  <c r="H77" i="1"/>
  <c r="DB76" i="1"/>
  <c r="DA76" i="1"/>
  <c r="CZ76" i="1"/>
  <c r="CY76" i="1"/>
  <c r="CX76" i="1"/>
  <c r="CW76" i="1"/>
  <c r="CV76" i="1"/>
  <c r="CU76" i="1"/>
  <c r="CT76" i="1"/>
  <c r="CS76" i="1"/>
  <c r="CR76" i="1"/>
  <c r="CQ76" i="1"/>
  <c r="CP76" i="1"/>
  <c r="CO76" i="1"/>
  <c r="CN76" i="1"/>
  <c r="CM76" i="1"/>
  <c r="CL76" i="1"/>
  <c r="CK76" i="1"/>
  <c r="CJ76" i="1"/>
  <c r="CI76" i="1"/>
  <c r="H76" i="1"/>
  <c r="DB75" i="1"/>
  <c r="DA75" i="1"/>
  <c r="CZ75" i="1"/>
  <c r="CY75" i="1"/>
  <c r="CX75" i="1"/>
  <c r="CW75" i="1"/>
  <c r="CV75" i="1"/>
  <c r="CU75" i="1"/>
  <c r="CT75" i="1"/>
  <c r="CS75" i="1"/>
  <c r="CR75" i="1"/>
  <c r="CQ75" i="1"/>
  <c r="CP75" i="1"/>
  <c r="CO75" i="1"/>
  <c r="CN75" i="1"/>
  <c r="CM75" i="1"/>
  <c r="CL75" i="1"/>
  <c r="CK75" i="1"/>
  <c r="CJ75" i="1"/>
  <c r="CI75" i="1"/>
  <c r="H75" i="1"/>
  <c r="DB74" i="1"/>
  <c r="DA74" i="1"/>
  <c r="CZ74" i="1"/>
  <c r="CY74" i="1"/>
  <c r="CX74" i="1"/>
  <c r="CW74" i="1"/>
  <c r="CV74" i="1"/>
  <c r="CU74" i="1"/>
  <c r="CT74" i="1"/>
  <c r="CS74" i="1"/>
  <c r="CR74" i="1"/>
  <c r="CQ74" i="1"/>
  <c r="CP74" i="1"/>
  <c r="CO74" i="1"/>
  <c r="CN74" i="1"/>
  <c r="CM74" i="1"/>
  <c r="CL74" i="1"/>
  <c r="CK74" i="1"/>
  <c r="CJ74" i="1"/>
  <c r="CI74" i="1"/>
  <c r="H74" i="1"/>
  <c r="DB73" i="1"/>
  <c r="DA73" i="1"/>
  <c r="CZ73" i="1"/>
  <c r="CY73" i="1"/>
  <c r="CX73" i="1"/>
  <c r="CW73" i="1"/>
  <c r="CV73" i="1"/>
  <c r="CU73" i="1"/>
  <c r="CT73" i="1"/>
  <c r="CS73" i="1"/>
  <c r="CR73" i="1"/>
  <c r="CQ73" i="1"/>
  <c r="CP73" i="1"/>
  <c r="CO73" i="1"/>
  <c r="CN73" i="1"/>
  <c r="CM73" i="1"/>
  <c r="CL73" i="1"/>
  <c r="CK73" i="1"/>
  <c r="CJ73" i="1"/>
  <c r="CI73" i="1"/>
  <c r="H73" i="1"/>
  <c r="DB72" i="1"/>
  <c r="DA72" i="1"/>
  <c r="CZ72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H72" i="1"/>
  <c r="DB71" i="1"/>
  <c r="DA71" i="1"/>
  <c r="CZ71" i="1"/>
  <c r="CY71" i="1"/>
  <c r="CX71" i="1"/>
  <c r="CW71" i="1"/>
  <c r="CV71" i="1"/>
  <c r="CU71" i="1"/>
  <c r="CT71" i="1"/>
  <c r="CS71" i="1"/>
  <c r="CR71" i="1"/>
  <c r="CQ71" i="1"/>
  <c r="CP71" i="1"/>
  <c r="CO71" i="1"/>
  <c r="CN71" i="1"/>
  <c r="CM71" i="1"/>
  <c r="CL71" i="1"/>
  <c r="CK71" i="1"/>
  <c r="CJ71" i="1"/>
  <c r="CI71" i="1"/>
  <c r="H71" i="1"/>
  <c r="DB70" i="1"/>
  <c r="DA70" i="1"/>
  <c r="CZ70" i="1"/>
  <c r="CY70" i="1"/>
  <c r="CX70" i="1"/>
  <c r="CW70" i="1"/>
  <c r="CV70" i="1"/>
  <c r="CU70" i="1"/>
  <c r="CT70" i="1"/>
  <c r="CS70" i="1"/>
  <c r="CR70" i="1"/>
  <c r="CQ70" i="1"/>
  <c r="CP70" i="1"/>
  <c r="CO70" i="1"/>
  <c r="CN70" i="1"/>
  <c r="CM70" i="1"/>
  <c r="CL70" i="1"/>
  <c r="CK70" i="1"/>
  <c r="CJ70" i="1"/>
  <c r="CI70" i="1"/>
  <c r="H70" i="1"/>
  <c r="DB69" i="1"/>
  <c r="DA69" i="1"/>
  <c r="CZ69" i="1"/>
  <c r="CY69" i="1"/>
  <c r="CX69" i="1"/>
  <c r="CW69" i="1"/>
  <c r="CV69" i="1"/>
  <c r="CU69" i="1"/>
  <c r="CT69" i="1"/>
  <c r="CS69" i="1"/>
  <c r="CR69" i="1"/>
  <c r="CQ69" i="1"/>
  <c r="CP69" i="1"/>
  <c r="CO69" i="1"/>
  <c r="CN69" i="1"/>
  <c r="CM69" i="1"/>
  <c r="CL69" i="1"/>
  <c r="CK69" i="1"/>
  <c r="CJ69" i="1"/>
  <c r="CI69" i="1"/>
  <c r="H69" i="1"/>
  <c r="DB68" i="1"/>
  <c r="DA68" i="1"/>
  <c r="CZ68" i="1"/>
  <c r="CY68" i="1"/>
  <c r="CX68" i="1"/>
  <c r="CW68" i="1"/>
  <c r="CV68" i="1"/>
  <c r="CU68" i="1"/>
  <c r="CT68" i="1"/>
  <c r="CS68" i="1"/>
  <c r="CR68" i="1"/>
  <c r="CQ68" i="1"/>
  <c r="CP68" i="1"/>
  <c r="CO68" i="1"/>
  <c r="CN68" i="1"/>
  <c r="CM68" i="1"/>
  <c r="CL68" i="1"/>
  <c r="CK68" i="1"/>
  <c r="CJ68" i="1"/>
  <c r="CI68" i="1"/>
  <c r="H68" i="1"/>
  <c r="DB67" i="1"/>
  <c r="DA67" i="1"/>
  <c r="CZ67" i="1"/>
  <c r="CY67" i="1"/>
  <c r="CX67" i="1"/>
  <c r="CW67" i="1"/>
  <c r="CV67" i="1"/>
  <c r="CU67" i="1"/>
  <c r="CT67" i="1"/>
  <c r="CS67" i="1"/>
  <c r="CR67" i="1"/>
  <c r="CQ67" i="1"/>
  <c r="CP67" i="1"/>
  <c r="CO67" i="1"/>
  <c r="CN67" i="1"/>
  <c r="CM67" i="1"/>
  <c r="CL67" i="1"/>
  <c r="CK67" i="1"/>
  <c r="CJ67" i="1"/>
  <c r="CI67" i="1"/>
  <c r="H67" i="1"/>
  <c r="DB66" i="1"/>
  <c r="DA66" i="1"/>
  <c r="CZ66" i="1"/>
  <c r="CY66" i="1"/>
  <c r="CX66" i="1"/>
  <c r="CW66" i="1"/>
  <c r="CV66" i="1"/>
  <c r="CU66" i="1"/>
  <c r="CT66" i="1"/>
  <c r="CS66" i="1"/>
  <c r="CR66" i="1"/>
  <c r="CQ66" i="1"/>
  <c r="CP66" i="1"/>
  <c r="CO66" i="1"/>
  <c r="CN66" i="1"/>
  <c r="CM66" i="1"/>
  <c r="CL66" i="1"/>
  <c r="CK66" i="1"/>
  <c r="CJ66" i="1"/>
  <c r="CI66" i="1"/>
  <c r="H66" i="1"/>
  <c r="DB65" i="1"/>
  <c r="DA65" i="1"/>
  <c r="CZ65" i="1"/>
  <c r="CY65" i="1"/>
  <c r="CX65" i="1"/>
  <c r="CW65" i="1"/>
  <c r="CV65" i="1"/>
  <c r="CU65" i="1"/>
  <c r="CT65" i="1"/>
  <c r="CS65" i="1"/>
  <c r="CR65" i="1"/>
  <c r="CQ65" i="1"/>
  <c r="CP65" i="1"/>
  <c r="CO65" i="1"/>
  <c r="CN65" i="1"/>
  <c r="CM65" i="1"/>
  <c r="CL65" i="1"/>
  <c r="CK65" i="1"/>
  <c r="CJ65" i="1"/>
  <c r="CI65" i="1"/>
  <c r="H65" i="1"/>
  <c r="DB64" i="1"/>
  <c r="DA64" i="1"/>
  <c r="CZ64" i="1"/>
  <c r="CY64" i="1"/>
  <c r="CX64" i="1"/>
  <c r="CW64" i="1"/>
  <c r="CV64" i="1"/>
  <c r="CU64" i="1"/>
  <c r="CT64" i="1"/>
  <c r="CS64" i="1"/>
  <c r="CR64" i="1"/>
  <c r="CQ64" i="1"/>
  <c r="CP64" i="1"/>
  <c r="CO64" i="1"/>
  <c r="CN64" i="1"/>
  <c r="CM64" i="1"/>
  <c r="CL64" i="1"/>
  <c r="CK64" i="1"/>
  <c r="CJ64" i="1"/>
  <c r="CI64" i="1"/>
  <c r="H64" i="1"/>
  <c r="DB63" i="1"/>
  <c r="DA63" i="1"/>
  <c r="CZ63" i="1"/>
  <c r="CY63" i="1"/>
  <c r="CX63" i="1"/>
  <c r="CW63" i="1"/>
  <c r="CV63" i="1"/>
  <c r="CU63" i="1"/>
  <c r="CT63" i="1"/>
  <c r="CS63" i="1"/>
  <c r="CR63" i="1"/>
  <c r="CQ63" i="1"/>
  <c r="CP63" i="1"/>
  <c r="CO63" i="1"/>
  <c r="CN63" i="1"/>
  <c r="CM63" i="1"/>
  <c r="CL63" i="1"/>
  <c r="CK63" i="1"/>
  <c r="CJ63" i="1"/>
  <c r="CI63" i="1"/>
  <c r="H63" i="1"/>
  <c r="DB62" i="1"/>
  <c r="DA62" i="1"/>
  <c r="CZ62" i="1"/>
  <c r="CY62" i="1"/>
  <c r="CX62" i="1"/>
  <c r="CW62" i="1"/>
  <c r="CV62" i="1"/>
  <c r="CU62" i="1"/>
  <c r="CT62" i="1"/>
  <c r="CS62" i="1"/>
  <c r="CR62" i="1"/>
  <c r="CQ62" i="1"/>
  <c r="CP62" i="1"/>
  <c r="CO62" i="1"/>
  <c r="CN62" i="1"/>
  <c r="CM62" i="1"/>
  <c r="CL62" i="1"/>
  <c r="CK62" i="1"/>
  <c r="CJ62" i="1"/>
  <c r="CI62" i="1"/>
  <c r="H62" i="1"/>
  <c r="DB61" i="1"/>
  <c r="DA61" i="1"/>
  <c r="CZ61" i="1"/>
  <c r="CY61" i="1"/>
  <c r="CX61" i="1"/>
  <c r="CW61" i="1"/>
  <c r="CV61" i="1"/>
  <c r="CU61" i="1"/>
  <c r="CT61" i="1"/>
  <c r="CS61" i="1"/>
  <c r="CR61" i="1"/>
  <c r="CQ61" i="1"/>
  <c r="CP61" i="1"/>
  <c r="CO61" i="1"/>
  <c r="CN61" i="1"/>
  <c r="CM61" i="1"/>
  <c r="CL61" i="1"/>
  <c r="CK61" i="1"/>
  <c r="CJ61" i="1"/>
  <c r="CI61" i="1"/>
  <c r="H61" i="1"/>
  <c r="DB60" i="1"/>
  <c r="DA60" i="1"/>
  <c r="CZ60" i="1"/>
  <c r="CY60" i="1"/>
  <c r="CX60" i="1"/>
  <c r="CW60" i="1"/>
  <c r="CV60" i="1"/>
  <c r="CU60" i="1"/>
  <c r="CT60" i="1"/>
  <c r="CS60" i="1"/>
  <c r="CR60" i="1"/>
  <c r="CQ60" i="1"/>
  <c r="CP60" i="1"/>
  <c r="CO60" i="1"/>
  <c r="CN60" i="1"/>
  <c r="CM60" i="1"/>
  <c r="CL60" i="1"/>
  <c r="CK60" i="1"/>
  <c r="CJ60" i="1"/>
  <c r="CI60" i="1"/>
  <c r="H60" i="1"/>
  <c r="DB59" i="1"/>
  <c r="DA59" i="1"/>
  <c r="CZ59" i="1"/>
  <c r="CY59" i="1"/>
  <c r="CX59" i="1"/>
  <c r="CW59" i="1"/>
  <c r="CV59" i="1"/>
  <c r="CU59" i="1"/>
  <c r="CT59" i="1"/>
  <c r="CS59" i="1"/>
  <c r="CR59" i="1"/>
  <c r="CQ59" i="1"/>
  <c r="CP59" i="1"/>
  <c r="CO59" i="1"/>
  <c r="CN59" i="1"/>
  <c r="CM59" i="1"/>
  <c r="CL59" i="1"/>
  <c r="CK59" i="1"/>
  <c r="CJ59" i="1"/>
  <c r="CI59" i="1"/>
  <c r="H59" i="1"/>
  <c r="DB58" i="1"/>
  <c r="DA58" i="1"/>
  <c r="CZ58" i="1"/>
  <c r="CY58" i="1"/>
  <c r="CX58" i="1"/>
  <c r="CW58" i="1"/>
  <c r="CV58" i="1"/>
  <c r="CU58" i="1"/>
  <c r="CT58" i="1"/>
  <c r="CS58" i="1"/>
  <c r="CR58" i="1"/>
  <c r="CQ58" i="1"/>
  <c r="CP58" i="1"/>
  <c r="CO58" i="1"/>
  <c r="CN58" i="1"/>
  <c r="CM58" i="1"/>
  <c r="CL58" i="1"/>
  <c r="CK58" i="1"/>
  <c r="CJ58" i="1"/>
  <c r="CI58" i="1"/>
  <c r="H58" i="1"/>
  <c r="DB57" i="1"/>
  <c r="DA57" i="1"/>
  <c r="CZ57" i="1"/>
  <c r="CY57" i="1"/>
  <c r="CX57" i="1"/>
  <c r="CW57" i="1"/>
  <c r="CV57" i="1"/>
  <c r="CU57" i="1"/>
  <c r="CT57" i="1"/>
  <c r="CS57" i="1"/>
  <c r="CR57" i="1"/>
  <c r="CQ57" i="1"/>
  <c r="CP57" i="1"/>
  <c r="CO57" i="1"/>
  <c r="CN57" i="1"/>
  <c r="CM57" i="1"/>
  <c r="CL57" i="1"/>
  <c r="CK57" i="1"/>
  <c r="CJ57" i="1"/>
  <c r="CI57" i="1"/>
  <c r="H57" i="1"/>
  <c r="DB56" i="1"/>
  <c r="DA56" i="1"/>
  <c r="CZ56" i="1"/>
  <c r="CY56" i="1"/>
  <c r="CX56" i="1"/>
  <c r="CW56" i="1"/>
  <c r="CV56" i="1"/>
  <c r="CU56" i="1"/>
  <c r="CT56" i="1"/>
  <c r="CS56" i="1"/>
  <c r="CR56" i="1"/>
  <c r="CQ56" i="1"/>
  <c r="CP56" i="1"/>
  <c r="CO56" i="1"/>
  <c r="CN56" i="1"/>
  <c r="CM56" i="1"/>
  <c r="CL56" i="1"/>
  <c r="CK56" i="1"/>
  <c r="CJ56" i="1"/>
  <c r="CI56" i="1"/>
  <c r="H56" i="1"/>
  <c r="DB55" i="1"/>
  <c r="DA55" i="1"/>
  <c r="CZ55" i="1"/>
  <c r="CY55" i="1"/>
  <c r="CX55" i="1"/>
  <c r="CW55" i="1"/>
  <c r="CV55" i="1"/>
  <c r="CU55" i="1"/>
  <c r="CT55" i="1"/>
  <c r="CS55" i="1"/>
  <c r="CR55" i="1"/>
  <c r="CQ55" i="1"/>
  <c r="CP55" i="1"/>
  <c r="CO55" i="1"/>
  <c r="CN55" i="1"/>
  <c r="CM55" i="1"/>
  <c r="CL55" i="1"/>
  <c r="CK55" i="1"/>
  <c r="CJ55" i="1"/>
  <c r="CI55" i="1"/>
  <c r="H55" i="1"/>
  <c r="DB54" i="1"/>
  <c r="DA54" i="1"/>
  <c r="CZ54" i="1"/>
  <c r="CY54" i="1"/>
  <c r="CX54" i="1"/>
  <c r="CW54" i="1"/>
  <c r="CV54" i="1"/>
  <c r="CU54" i="1"/>
  <c r="CT54" i="1"/>
  <c r="CS54" i="1"/>
  <c r="CR54" i="1"/>
  <c r="CQ54" i="1"/>
  <c r="CP54" i="1"/>
  <c r="CO54" i="1"/>
  <c r="CN54" i="1"/>
  <c r="CM54" i="1"/>
  <c r="CL54" i="1"/>
  <c r="CK54" i="1"/>
  <c r="CJ54" i="1"/>
  <c r="CI54" i="1"/>
  <c r="H54" i="1"/>
  <c r="DB53" i="1"/>
  <c r="DA53" i="1"/>
  <c r="CZ53" i="1"/>
  <c r="CY53" i="1"/>
  <c r="CX53" i="1"/>
  <c r="CW53" i="1"/>
  <c r="CV53" i="1"/>
  <c r="CU53" i="1"/>
  <c r="CT53" i="1"/>
  <c r="CS53" i="1"/>
  <c r="CR53" i="1"/>
  <c r="CQ53" i="1"/>
  <c r="CP53" i="1"/>
  <c r="CO53" i="1"/>
  <c r="CN53" i="1"/>
  <c r="CM53" i="1"/>
  <c r="CL53" i="1"/>
  <c r="CK53" i="1"/>
  <c r="CJ53" i="1"/>
  <c r="CI53" i="1"/>
  <c r="H53" i="1"/>
  <c r="DB52" i="1"/>
  <c r="DA52" i="1"/>
  <c r="CZ52" i="1"/>
  <c r="CY52" i="1"/>
  <c r="CX52" i="1"/>
  <c r="CW52" i="1"/>
  <c r="CV52" i="1"/>
  <c r="CU52" i="1"/>
  <c r="CT52" i="1"/>
  <c r="CS52" i="1"/>
  <c r="CR52" i="1"/>
  <c r="CQ52" i="1"/>
  <c r="CP52" i="1"/>
  <c r="CO52" i="1"/>
  <c r="CN52" i="1"/>
  <c r="CM52" i="1"/>
  <c r="CL52" i="1"/>
  <c r="CK52" i="1"/>
  <c r="CJ52" i="1"/>
  <c r="CI52" i="1"/>
  <c r="H52" i="1"/>
  <c r="DB51" i="1"/>
  <c r="DA51" i="1"/>
  <c r="CZ51" i="1"/>
  <c r="CY51" i="1"/>
  <c r="CX51" i="1"/>
  <c r="CW51" i="1"/>
  <c r="CV51" i="1"/>
  <c r="CU51" i="1"/>
  <c r="CT51" i="1"/>
  <c r="CS51" i="1"/>
  <c r="CR51" i="1"/>
  <c r="CQ51" i="1"/>
  <c r="CP51" i="1"/>
  <c r="CO51" i="1"/>
  <c r="CN51" i="1"/>
  <c r="CM51" i="1"/>
  <c r="CL51" i="1"/>
  <c r="CK51" i="1"/>
  <c r="CJ51" i="1"/>
  <c r="CI51" i="1"/>
  <c r="H51" i="1"/>
  <c r="DB50" i="1"/>
  <c r="DA50" i="1"/>
  <c r="CZ50" i="1"/>
  <c r="CY50" i="1"/>
  <c r="CX50" i="1"/>
  <c r="CW50" i="1"/>
  <c r="CV50" i="1"/>
  <c r="CU50" i="1"/>
  <c r="CT50" i="1"/>
  <c r="CS50" i="1"/>
  <c r="CR50" i="1"/>
  <c r="CQ50" i="1"/>
  <c r="CP50" i="1"/>
  <c r="CO50" i="1"/>
  <c r="CN50" i="1"/>
  <c r="CM50" i="1"/>
  <c r="CL50" i="1"/>
  <c r="CK50" i="1"/>
  <c r="CJ50" i="1"/>
  <c r="CI50" i="1"/>
  <c r="H50" i="1"/>
  <c r="DB49" i="1"/>
  <c r="DA49" i="1"/>
  <c r="CZ49" i="1"/>
  <c r="CY49" i="1"/>
  <c r="CX49" i="1"/>
  <c r="CW49" i="1"/>
  <c r="CV49" i="1"/>
  <c r="CU49" i="1"/>
  <c r="CT49" i="1"/>
  <c r="CS49" i="1"/>
  <c r="CR49" i="1"/>
  <c r="CQ49" i="1"/>
  <c r="CP49" i="1"/>
  <c r="CO49" i="1"/>
  <c r="CN49" i="1"/>
  <c r="CM49" i="1"/>
  <c r="CL49" i="1"/>
  <c r="CK49" i="1"/>
  <c r="CJ49" i="1"/>
  <c r="CI49" i="1"/>
  <c r="H49" i="1"/>
  <c r="DB48" i="1"/>
  <c r="DA48" i="1"/>
  <c r="CZ48" i="1"/>
  <c r="CY48" i="1"/>
  <c r="CX48" i="1"/>
  <c r="CW48" i="1"/>
  <c r="CV48" i="1"/>
  <c r="CU48" i="1"/>
  <c r="CT48" i="1"/>
  <c r="CS48" i="1"/>
  <c r="CR48" i="1"/>
  <c r="CQ48" i="1"/>
  <c r="CP48" i="1"/>
  <c r="CO48" i="1"/>
  <c r="CN48" i="1"/>
  <c r="CM48" i="1"/>
  <c r="CL48" i="1"/>
  <c r="CK48" i="1"/>
  <c r="CJ48" i="1"/>
  <c r="CI48" i="1"/>
  <c r="H48" i="1"/>
  <c r="DB47" i="1"/>
  <c r="DA47" i="1"/>
  <c r="CZ47" i="1"/>
  <c r="CY47" i="1"/>
  <c r="CX47" i="1"/>
  <c r="CW47" i="1"/>
  <c r="CV47" i="1"/>
  <c r="CU47" i="1"/>
  <c r="CT47" i="1"/>
  <c r="CS47" i="1"/>
  <c r="CR47" i="1"/>
  <c r="CQ47" i="1"/>
  <c r="CP47" i="1"/>
  <c r="CO47" i="1"/>
  <c r="CN47" i="1"/>
  <c r="CM47" i="1"/>
  <c r="CL47" i="1"/>
  <c r="CK47" i="1"/>
  <c r="CJ47" i="1"/>
  <c r="CI47" i="1"/>
  <c r="H47" i="1"/>
  <c r="DB46" i="1"/>
  <c r="DA46" i="1"/>
  <c r="CZ46" i="1"/>
  <c r="CY46" i="1"/>
  <c r="CX46" i="1"/>
  <c r="CW46" i="1"/>
  <c r="CV46" i="1"/>
  <c r="CU46" i="1"/>
  <c r="CT46" i="1"/>
  <c r="CS46" i="1"/>
  <c r="CR46" i="1"/>
  <c r="CQ46" i="1"/>
  <c r="CP46" i="1"/>
  <c r="CO46" i="1"/>
  <c r="CN46" i="1"/>
  <c r="CM46" i="1"/>
  <c r="CL46" i="1"/>
  <c r="CK46" i="1"/>
  <c r="CJ46" i="1"/>
  <c r="CI46" i="1"/>
  <c r="H46" i="1"/>
  <c r="DB45" i="1"/>
  <c r="DA45" i="1"/>
  <c r="CZ45" i="1"/>
  <c r="CY45" i="1"/>
  <c r="CX45" i="1"/>
  <c r="CW45" i="1"/>
  <c r="CV45" i="1"/>
  <c r="CU45" i="1"/>
  <c r="CT45" i="1"/>
  <c r="CS45" i="1"/>
  <c r="CR45" i="1"/>
  <c r="CQ45" i="1"/>
  <c r="CP45" i="1"/>
  <c r="CO45" i="1"/>
  <c r="CN45" i="1"/>
  <c r="CM45" i="1"/>
  <c r="CL45" i="1"/>
  <c r="CK45" i="1"/>
  <c r="CJ45" i="1"/>
  <c r="CI45" i="1"/>
  <c r="H45" i="1"/>
  <c r="DB44" i="1"/>
  <c r="DA44" i="1"/>
  <c r="CZ44" i="1"/>
  <c r="CY44" i="1"/>
  <c r="CX44" i="1"/>
  <c r="CW44" i="1"/>
  <c r="CV44" i="1"/>
  <c r="CU44" i="1"/>
  <c r="CT44" i="1"/>
  <c r="CS44" i="1"/>
  <c r="CR44" i="1"/>
  <c r="CQ44" i="1"/>
  <c r="CP44" i="1"/>
  <c r="CO44" i="1"/>
  <c r="CN44" i="1"/>
  <c r="CM44" i="1"/>
  <c r="CL44" i="1"/>
  <c r="CK44" i="1"/>
  <c r="CJ44" i="1"/>
  <c r="CI44" i="1"/>
  <c r="H44" i="1"/>
  <c r="DB43" i="1"/>
  <c r="DA43" i="1"/>
  <c r="CZ43" i="1"/>
  <c r="CY43" i="1"/>
  <c r="CX43" i="1"/>
  <c r="CW43" i="1"/>
  <c r="CV43" i="1"/>
  <c r="CU43" i="1"/>
  <c r="CT43" i="1"/>
  <c r="CS43" i="1"/>
  <c r="CR43" i="1"/>
  <c r="CQ43" i="1"/>
  <c r="CP43" i="1"/>
  <c r="CO43" i="1"/>
  <c r="CN43" i="1"/>
  <c r="CM43" i="1"/>
  <c r="CL43" i="1"/>
  <c r="CK43" i="1"/>
  <c r="CJ43" i="1"/>
  <c r="CI43" i="1"/>
  <c r="H43" i="1"/>
  <c r="DB42" i="1"/>
  <c r="DA42" i="1"/>
  <c r="CZ42" i="1"/>
  <c r="CY42" i="1"/>
  <c r="CX42" i="1"/>
  <c r="CW42" i="1"/>
  <c r="CV42" i="1"/>
  <c r="CU42" i="1"/>
  <c r="CT42" i="1"/>
  <c r="CS42" i="1"/>
  <c r="CR42" i="1"/>
  <c r="CQ42" i="1"/>
  <c r="CP42" i="1"/>
  <c r="CO42" i="1"/>
  <c r="CN42" i="1"/>
  <c r="CM42" i="1"/>
  <c r="CL42" i="1"/>
  <c r="CK42" i="1"/>
  <c r="CJ42" i="1"/>
  <c r="CI42" i="1"/>
  <c r="H42" i="1"/>
  <c r="DB41" i="1"/>
  <c r="DA41" i="1"/>
  <c r="CZ41" i="1"/>
  <c r="CY41" i="1"/>
  <c r="CX41" i="1"/>
  <c r="CW41" i="1"/>
  <c r="CV41" i="1"/>
  <c r="CU41" i="1"/>
  <c r="CT41" i="1"/>
  <c r="CS41" i="1"/>
  <c r="CR41" i="1"/>
  <c r="CQ41" i="1"/>
  <c r="CP41" i="1"/>
  <c r="CO41" i="1"/>
  <c r="CN41" i="1"/>
  <c r="CM41" i="1"/>
  <c r="CL41" i="1"/>
  <c r="CK41" i="1"/>
  <c r="CJ41" i="1"/>
  <c r="CI41" i="1"/>
  <c r="H41" i="1"/>
  <c r="DB40" i="1"/>
  <c r="DA40" i="1"/>
  <c r="CZ40" i="1"/>
  <c r="CY40" i="1"/>
  <c r="CX40" i="1"/>
  <c r="CW40" i="1"/>
  <c r="CV40" i="1"/>
  <c r="CU40" i="1"/>
  <c r="CT40" i="1"/>
  <c r="CS40" i="1"/>
  <c r="CR40" i="1"/>
  <c r="CQ40" i="1"/>
  <c r="CP40" i="1"/>
  <c r="CO40" i="1"/>
  <c r="CN40" i="1"/>
  <c r="CM40" i="1"/>
  <c r="CL40" i="1"/>
  <c r="CK40" i="1"/>
  <c r="CJ40" i="1"/>
  <c r="CI40" i="1"/>
  <c r="H40" i="1"/>
  <c r="DB39" i="1"/>
  <c r="DA39" i="1"/>
  <c r="CZ39" i="1"/>
  <c r="CY39" i="1"/>
  <c r="CX39" i="1"/>
  <c r="CW39" i="1"/>
  <c r="CV39" i="1"/>
  <c r="CU39" i="1"/>
  <c r="CT39" i="1"/>
  <c r="CS39" i="1"/>
  <c r="CR39" i="1"/>
  <c r="CQ39" i="1"/>
  <c r="CP39" i="1"/>
  <c r="CO39" i="1"/>
  <c r="CN39" i="1"/>
  <c r="CM39" i="1"/>
  <c r="CL39" i="1"/>
  <c r="CK39" i="1"/>
  <c r="CJ39" i="1"/>
  <c r="CI39" i="1"/>
  <c r="H39" i="1"/>
  <c r="DB38" i="1"/>
  <c r="DA38" i="1"/>
  <c r="CZ38" i="1"/>
  <c r="CY38" i="1"/>
  <c r="CX38" i="1"/>
  <c r="CW38" i="1"/>
  <c r="CV38" i="1"/>
  <c r="CU38" i="1"/>
  <c r="CT38" i="1"/>
  <c r="CS38" i="1"/>
  <c r="CR38" i="1"/>
  <c r="CQ38" i="1"/>
  <c r="CP38" i="1"/>
  <c r="CO38" i="1"/>
  <c r="CN38" i="1"/>
  <c r="CM38" i="1"/>
  <c r="CL38" i="1"/>
  <c r="CK38" i="1"/>
  <c r="CJ38" i="1"/>
  <c r="CI38" i="1"/>
  <c r="H38" i="1"/>
  <c r="DB37" i="1"/>
  <c r="DA37" i="1"/>
  <c r="CZ37" i="1"/>
  <c r="CY37" i="1"/>
  <c r="CX37" i="1"/>
  <c r="CW37" i="1"/>
  <c r="CV37" i="1"/>
  <c r="CU37" i="1"/>
  <c r="CT37" i="1"/>
  <c r="CS37" i="1"/>
  <c r="CR37" i="1"/>
  <c r="CQ37" i="1"/>
  <c r="CP37" i="1"/>
  <c r="CO37" i="1"/>
  <c r="CN37" i="1"/>
  <c r="CM37" i="1"/>
  <c r="CL37" i="1"/>
  <c r="CK37" i="1"/>
  <c r="CJ37" i="1"/>
  <c r="CI37" i="1"/>
  <c r="H37" i="1"/>
  <c r="DB36" i="1"/>
  <c r="DA36" i="1"/>
  <c r="CZ36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H36" i="1"/>
  <c r="DB35" i="1"/>
  <c r="DA35" i="1"/>
  <c r="CZ35" i="1"/>
  <c r="CY35" i="1"/>
  <c r="CX35" i="1"/>
  <c r="CW35" i="1"/>
  <c r="CV35" i="1"/>
  <c r="CU35" i="1"/>
  <c r="CT35" i="1"/>
  <c r="CS35" i="1"/>
  <c r="CR35" i="1"/>
  <c r="CQ35" i="1"/>
  <c r="CP35" i="1"/>
  <c r="CO35" i="1"/>
  <c r="CN35" i="1"/>
  <c r="CM35" i="1"/>
  <c r="CL35" i="1"/>
  <c r="CK35" i="1"/>
  <c r="CJ35" i="1"/>
  <c r="CI35" i="1"/>
  <c r="H35" i="1"/>
  <c r="DB34" i="1"/>
  <c r="DA34" i="1"/>
  <c r="CZ34" i="1"/>
  <c r="CY34" i="1"/>
  <c r="CX34" i="1"/>
  <c r="CW34" i="1"/>
  <c r="CV34" i="1"/>
  <c r="CU34" i="1"/>
  <c r="CT34" i="1"/>
  <c r="CS34" i="1"/>
  <c r="CR34" i="1"/>
  <c r="CQ34" i="1"/>
  <c r="CP34" i="1"/>
  <c r="CO34" i="1"/>
  <c r="CN34" i="1"/>
  <c r="CM34" i="1"/>
  <c r="CL34" i="1"/>
  <c r="CK34" i="1"/>
  <c r="CJ34" i="1"/>
  <c r="CI34" i="1"/>
  <c r="H34" i="1"/>
  <c r="DB33" i="1"/>
  <c r="DA33" i="1"/>
  <c r="CZ33" i="1"/>
  <c r="CY33" i="1"/>
  <c r="CX33" i="1"/>
  <c r="CW33" i="1"/>
  <c r="CV33" i="1"/>
  <c r="CU33" i="1"/>
  <c r="CT33" i="1"/>
  <c r="CS33" i="1"/>
  <c r="CR33" i="1"/>
  <c r="CQ33" i="1"/>
  <c r="CP33" i="1"/>
  <c r="CO33" i="1"/>
  <c r="CN33" i="1"/>
  <c r="CM33" i="1"/>
  <c r="CL33" i="1"/>
  <c r="CK33" i="1"/>
  <c r="CJ33" i="1"/>
  <c r="CI33" i="1"/>
  <c r="H33" i="1"/>
  <c r="DB32" i="1"/>
  <c r="DA32" i="1"/>
  <c r="CZ32" i="1"/>
  <c r="CY32" i="1"/>
  <c r="CX32" i="1"/>
  <c r="CW32" i="1"/>
  <c r="CV32" i="1"/>
  <c r="CU32" i="1"/>
  <c r="CT32" i="1"/>
  <c r="CS32" i="1"/>
  <c r="CR32" i="1"/>
  <c r="CQ32" i="1"/>
  <c r="CP32" i="1"/>
  <c r="CO32" i="1"/>
  <c r="CN32" i="1"/>
  <c r="CM32" i="1"/>
  <c r="CL32" i="1"/>
  <c r="CK32" i="1"/>
  <c r="CJ32" i="1"/>
  <c r="CI32" i="1"/>
  <c r="H32" i="1"/>
  <c r="DB31" i="1"/>
  <c r="DA31" i="1"/>
  <c r="CZ31" i="1"/>
  <c r="CY31" i="1"/>
  <c r="CX31" i="1"/>
  <c r="CW31" i="1"/>
  <c r="CV31" i="1"/>
  <c r="CU31" i="1"/>
  <c r="CT31" i="1"/>
  <c r="CS31" i="1"/>
  <c r="CR31" i="1"/>
  <c r="CQ31" i="1"/>
  <c r="CP31" i="1"/>
  <c r="CO31" i="1"/>
  <c r="CN31" i="1"/>
  <c r="CM31" i="1"/>
  <c r="CL31" i="1"/>
  <c r="CK31" i="1"/>
  <c r="CJ31" i="1"/>
  <c r="CI31" i="1"/>
  <c r="H31" i="1"/>
  <c r="DB30" i="1"/>
  <c r="DA30" i="1"/>
  <c r="CZ30" i="1"/>
  <c r="CY30" i="1"/>
  <c r="CX30" i="1"/>
  <c r="CW30" i="1"/>
  <c r="CV30" i="1"/>
  <c r="CU30" i="1"/>
  <c r="CT30" i="1"/>
  <c r="CS30" i="1"/>
  <c r="CR30" i="1"/>
  <c r="CQ30" i="1"/>
  <c r="CP30" i="1"/>
  <c r="CO30" i="1"/>
  <c r="CN30" i="1"/>
  <c r="CM30" i="1"/>
  <c r="CL30" i="1"/>
  <c r="CK30" i="1"/>
  <c r="CJ30" i="1"/>
  <c r="CI30" i="1"/>
  <c r="H30" i="1"/>
  <c r="DB29" i="1"/>
  <c r="DA29" i="1"/>
  <c r="CZ29" i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H29" i="1"/>
  <c r="DB28" i="1"/>
  <c r="DA28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H28" i="1"/>
  <c r="DB27" i="1"/>
  <c r="DA27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H27" i="1"/>
  <c r="DB26" i="1"/>
  <c r="DA26" i="1"/>
  <c r="CZ26" i="1"/>
  <c r="CY26" i="1"/>
  <c r="CX26" i="1"/>
  <c r="CW26" i="1"/>
  <c r="CV26" i="1"/>
  <c r="CU26" i="1"/>
  <c r="CT26" i="1"/>
  <c r="CS26" i="1"/>
  <c r="CR26" i="1"/>
  <c r="CQ26" i="1"/>
  <c r="CP26" i="1"/>
  <c r="CO26" i="1"/>
  <c r="CN26" i="1"/>
  <c r="CM26" i="1"/>
  <c r="CL26" i="1"/>
  <c r="CK26" i="1"/>
  <c r="CJ26" i="1"/>
  <c r="CI26" i="1"/>
  <c r="H26" i="1"/>
  <c r="DB25" i="1"/>
  <c r="DA25" i="1"/>
  <c r="CZ25" i="1"/>
  <c r="CY25" i="1"/>
  <c r="CX25" i="1"/>
  <c r="CW25" i="1"/>
  <c r="CV25" i="1"/>
  <c r="CU25" i="1"/>
  <c r="CT25" i="1"/>
  <c r="CS25" i="1"/>
  <c r="CR25" i="1"/>
  <c r="CQ25" i="1"/>
  <c r="CP25" i="1"/>
  <c r="CO25" i="1"/>
  <c r="CN25" i="1"/>
  <c r="CM25" i="1"/>
  <c r="CL25" i="1"/>
  <c r="CK25" i="1"/>
  <c r="CJ25" i="1"/>
  <c r="CI25" i="1"/>
  <c r="H25" i="1"/>
  <c r="DB24" i="1"/>
  <c r="DA24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H24" i="1"/>
  <c r="DB23" i="1"/>
  <c r="DA23" i="1"/>
  <c r="CZ23" i="1"/>
  <c r="CY23" i="1"/>
  <c r="CX23" i="1"/>
  <c r="CW23" i="1"/>
  <c r="CV23" i="1"/>
  <c r="CU23" i="1"/>
  <c r="CT23" i="1"/>
  <c r="CS23" i="1"/>
  <c r="CR23" i="1"/>
  <c r="CQ23" i="1"/>
  <c r="CP23" i="1"/>
  <c r="CO23" i="1"/>
  <c r="CN23" i="1"/>
  <c r="CM23" i="1"/>
  <c r="CL23" i="1"/>
  <c r="CK23" i="1"/>
  <c r="CJ23" i="1"/>
  <c r="CI23" i="1"/>
  <c r="H23" i="1"/>
  <c r="DB22" i="1"/>
  <c r="DA22" i="1"/>
  <c r="CZ22" i="1"/>
  <c r="CY22" i="1"/>
  <c r="CX22" i="1"/>
  <c r="CW22" i="1"/>
  <c r="CV22" i="1"/>
  <c r="CU22" i="1"/>
  <c r="CT22" i="1"/>
  <c r="CS22" i="1"/>
  <c r="CR22" i="1"/>
  <c r="CQ22" i="1"/>
  <c r="CP22" i="1"/>
  <c r="CO22" i="1"/>
  <c r="CN22" i="1"/>
  <c r="CM22" i="1"/>
  <c r="CL22" i="1"/>
  <c r="CK22" i="1"/>
  <c r="CJ22" i="1"/>
  <c r="CI22" i="1"/>
  <c r="H22" i="1"/>
  <c r="DB21" i="1"/>
  <c r="DA21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H21" i="1"/>
  <c r="DB20" i="1"/>
  <c r="DA20" i="1"/>
  <c r="CZ20" i="1"/>
  <c r="CY20" i="1"/>
  <c r="CX20" i="1"/>
  <c r="CW20" i="1"/>
  <c r="CV20" i="1"/>
  <c r="CU20" i="1"/>
  <c r="CT20" i="1"/>
  <c r="CS20" i="1"/>
  <c r="CR20" i="1"/>
  <c r="CQ20" i="1"/>
  <c r="CP20" i="1"/>
  <c r="CO20" i="1"/>
  <c r="CN20" i="1"/>
  <c r="CM20" i="1"/>
  <c r="CL20" i="1"/>
  <c r="CK20" i="1"/>
  <c r="CJ20" i="1"/>
  <c r="CI20" i="1"/>
  <c r="H20" i="1"/>
  <c r="DB19" i="1"/>
  <c r="DA19" i="1"/>
  <c r="CZ19" i="1"/>
  <c r="CY19" i="1"/>
  <c r="CX19" i="1"/>
  <c r="CW19" i="1"/>
  <c r="CV19" i="1"/>
  <c r="CU19" i="1"/>
  <c r="CT19" i="1"/>
  <c r="CS19" i="1"/>
  <c r="CR19" i="1"/>
  <c r="CQ19" i="1"/>
  <c r="CP19" i="1"/>
  <c r="CO19" i="1"/>
  <c r="CN19" i="1"/>
  <c r="CM19" i="1"/>
  <c r="CL19" i="1"/>
  <c r="CK19" i="1"/>
  <c r="CJ19" i="1"/>
  <c r="CI19" i="1"/>
  <c r="H19" i="1"/>
  <c r="DB18" i="1"/>
  <c r="DA18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H18" i="1"/>
  <c r="DB17" i="1"/>
  <c r="DA17" i="1"/>
  <c r="CZ17" i="1"/>
  <c r="CY17" i="1"/>
  <c r="CX17" i="1"/>
  <c r="CW17" i="1"/>
  <c r="CV17" i="1"/>
  <c r="CU17" i="1"/>
  <c r="CT17" i="1"/>
  <c r="CS17" i="1"/>
  <c r="CR17" i="1"/>
  <c r="CQ17" i="1"/>
  <c r="CP17" i="1"/>
  <c r="CO17" i="1"/>
  <c r="CN17" i="1"/>
  <c r="CM17" i="1"/>
  <c r="CL17" i="1"/>
  <c r="CK17" i="1"/>
  <c r="CJ17" i="1"/>
  <c r="CI17" i="1"/>
  <c r="H17" i="1"/>
  <c r="DB16" i="1"/>
  <c r="DA16" i="1"/>
  <c r="CZ16" i="1"/>
  <c r="CY16" i="1"/>
  <c r="CX16" i="1"/>
  <c r="CW16" i="1"/>
  <c r="CV16" i="1"/>
  <c r="CU16" i="1"/>
  <c r="CT16" i="1"/>
  <c r="CS16" i="1"/>
  <c r="CR16" i="1"/>
  <c r="CQ16" i="1"/>
  <c r="CP16" i="1"/>
  <c r="CO16" i="1"/>
  <c r="CN16" i="1"/>
  <c r="CM16" i="1"/>
  <c r="CL16" i="1"/>
  <c r="CK16" i="1"/>
  <c r="CJ16" i="1"/>
  <c r="CI16" i="1"/>
  <c r="H16" i="1"/>
  <c r="DB15" i="1"/>
  <c r="DA15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H15" i="1"/>
  <c r="DB14" i="1"/>
  <c r="DA14" i="1"/>
  <c r="CZ14" i="1"/>
  <c r="CY14" i="1"/>
  <c r="CX14" i="1"/>
  <c r="CW14" i="1"/>
  <c r="CV14" i="1"/>
  <c r="CU14" i="1"/>
  <c r="CT14" i="1"/>
  <c r="CS14" i="1"/>
  <c r="CR14" i="1"/>
  <c r="CQ14" i="1"/>
  <c r="CP14" i="1"/>
  <c r="CO14" i="1"/>
  <c r="CN14" i="1"/>
  <c r="CM14" i="1"/>
  <c r="CL14" i="1"/>
  <c r="CK14" i="1"/>
  <c r="CJ14" i="1"/>
  <c r="CI14" i="1"/>
  <c r="H14" i="1"/>
  <c r="DB13" i="1"/>
  <c r="DA13" i="1"/>
  <c r="CZ13" i="1"/>
  <c r="CY13" i="1"/>
  <c r="CX13" i="1"/>
  <c r="CW13" i="1"/>
  <c r="CV13" i="1"/>
  <c r="CU13" i="1"/>
  <c r="CT13" i="1"/>
  <c r="CS13" i="1"/>
  <c r="CR13" i="1"/>
  <c r="CQ13" i="1"/>
  <c r="CP13" i="1"/>
  <c r="CO13" i="1"/>
  <c r="CN13" i="1"/>
  <c r="CM13" i="1"/>
  <c r="CL13" i="1"/>
  <c r="CK13" i="1"/>
  <c r="CJ13" i="1"/>
  <c r="CI13" i="1"/>
  <c r="H13" i="1"/>
  <c r="DB12" i="1"/>
  <c r="DA12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H12" i="1"/>
  <c r="DB11" i="1"/>
  <c r="DA11" i="1"/>
  <c r="CZ11" i="1"/>
  <c r="CY11" i="1"/>
  <c r="CX11" i="1"/>
  <c r="CW11" i="1"/>
  <c r="CV11" i="1"/>
  <c r="CU11" i="1"/>
  <c r="CT11" i="1"/>
  <c r="CS11" i="1"/>
  <c r="CR11" i="1"/>
  <c r="CQ11" i="1"/>
  <c r="CP11" i="1"/>
  <c r="CO11" i="1"/>
  <c r="CN11" i="1"/>
  <c r="CM11" i="1"/>
  <c r="CL11" i="1"/>
  <c r="CK11" i="1"/>
  <c r="CJ11" i="1"/>
  <c r="CI11" i="1"/>
  <c r="H11" i="1"/>
  <c r="DB10" i="1"/>
  <c r="DA10" i="1"/>
  <c r="CZ10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H10" i="1"/>
  <c r="DB9" i="1"/>
  <c r="DA9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H9" i="1"/>
  <c r="DB8" i="1"/>
  <c r="DA8" i="1"/>
  <c r="CZ8" i="1"/>
  <c r="CY8" i="1"/>
  <c r="CX8" i="1"/>
  <c r="CW8" i="1"/>
  <c r="CV8" i="1"/>
  <c r="CU8" i="1"/>
  <c r="CT8" i="1"/>
  <c r="CS8" i="1"/>
  <c r="CR8" i="1"/>
  <c r="CQ8" i="1"/>
  <c r="CP8" i="1"/>
  <c r="CO8" i="1"/>
  <c r="CN8" i="1"/>
  <c r="CM8" i="1"/>
  <c r="CL8" i="1"/>
  <c r="CK8" i="1"/>
  <c r="CJ8" i="1"/>
  <c r="CI8" i="1"/>
  <c r="H8" i="1"/>
  <c r="DB7" i="1"/>
  <c r="DA7" i="1"/>
  <c r="CZ7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H7" i="1"/>
  <c r="DB6" i="1"/>
  <c r="DA6" i="1"/>
  <c r="CZ6" i="1"/>
  <c r="CY6" i="1"/>
  <c r="CX6" i="1"/>
  <c r="CW6" i="1"/>
  <c r="CV6" i="1"/>
  <c r="CU6" i="1"/>
  <c r="CT6" i="1"/>
  <c r="CS6" i="1"/>
  <c r="CR6" i="1"/>
  <c r="CQ6" i="1"/>
  <c r="CP6" i="1"/>
  <c r="CO6" i="1"/>
  <c r="CN6" i="1"/>
  <c r="CM6" i="1"/>
  <c r="CL6" i="1"/>
  <c r="CK6" i="1"/>
  <c r="CJ6" i="1"/>
  <c r="CI6" i="1"/>
  <c r="H6" i="1"/>
  <c r="DB5" i="1"/>
  <c r="DA5" i="1"/>
  <c r="CZ5" i="1"/>
  <c r="CY5" i="1"/>
  <c r="CX5" i="1"/>
  <c r="CW5" i="1"/>
  <c r="CV5" i="1"/>
  <c r="CU5" i="1"/>
  <c r="CT5" i="1"/>
  <c r="CS5" i="1"/>
  <c r="CR5" i="1"/>
  <c r="CQ5" i="1"/>
  <c r="CP5" i="1"/>
  <c r="CO5" i="1"/>
  <c r="CN5" i="1"/>
  <c r="CM5" i="1"/>
  <c r="CL5" i="1"/>
  <c r="CK5" i="1"/>
  <c r="CJ5" i="1"/>
  <c r="CI5" i="1"/>
  <c r="H5" i="1"/>
  <c r="DB4" i="1"/>
  <c r="DA4" i="1"/>
  <c r="CZ4" i="1"/>
  <c r="CY4" i="1"/>
  <c r="CX4" i="1"/>
  <c r="CW4" i="1"/>
  <c r="CV4" i="1"/>
  <c r="CU4" i="1"/>
  <c r="CT4" i="1"/>
  <c r="CS4" i="1"/>
  <c r="CR4" i="1"/>
  <c r="CQ4" i="1"/>
  <c r="CP4" i="1"/>
  <c r="CO4" i="1"/>
  <c r="CN4" i="1"/>
  <c r="CM4" i="1"/>
  <c r="CL4" i="1"/>
  <c r="CK4" i="1"/>
  <c r="CJ4" i="1"/>
  <c r="CI4" i="1"/>
  <c r="H4" i="1"/>
  <c r="DB3" i="1"/>
  <c r="DA3" i="1"/>
  <c r="CZ3" i="1"/>
  <c r="CY3" i="1"/>
  <c r="CX3" i="1"/>
  <c r="CW3" i="1"/>
  <c r="CV3" i="1"/>
  <c r="CU3" i="1"/>
  <c r="CT3" i="1"/>
  <c r="CS3" i="1"/>
  <c r="CR3" i="1"/>
  <c r="CQ3" i="1"/>
  <c r="CP3" i="1"/>
  <c r="CO3" i="1"/>
  <c r="CN3" i="1"/>
  <c r="CM3" i="1"/>
  <c r="CL3" i="1"/>
  <c r="CK3" i="1"/>
  <c r="CJ3" i="1"/>
  <c r="CI3" i="1"/>
  <c r="H3" i="1"/>
  <c r="DB2" i="1"/>
  <c r="DA2" i="1"/>
  <c r="CZ2" i="1"/>
  <c r="CY2" i="1"/>
  <c r="CX2" i="1"/>
  <c r="CW2" i="1"/>
  <c r="CV2" i="1"/>
  <c r="CU2" i="1"/>
  <c r="CT2" i="1"/>
  <c r="CS2" i="1"/>
  <c r="CR2" i="1"/>
  <c r="CQ2" i="1"/>
  <c r="CP2" i="1"/>
  <c r="CO2" i="1"/>
  <c r="CN2" i="1"/>
  <c r="CM2" i="1"/>
  <c r="CL2" i="1"/>
  <c r="CK2" i="1"/>
  <c r="CJ2" i="1"/>
  <c r="CI2" i="1"/>
  <c r="H2" i="1"/>
  <c r="H19" i="2"/>
  <c r="G19" i="2"/>
  <c r="F19" i="2"/>
  <c r="E19" i="2"/>
  <c r="D19" i="2"/>
  <c r="C19" i="2"/>
  <c r="I18" i="2"/>
  <c r="H18" i="2"/>
  <c r="G18" i="2"/>
  <c r="F18" i="2"/>
  <c r="E18" i="2"/>
  <c r="D18" i="2"/>
  <c r="C18" i="2"/>
  <c r="I17" i="2"/>
  <c r="H16" i="2"/>
  <c r="G16" i="2"/>
  <c r="F16" i="2"/>
  <c r="E16" i="2"/>
  <c r="D16" i="2"/>
  <c r="C16" i="2"/>
  <c r="H14" i="2"/>
  <c r="G14" i="2"/>
  <c r="F14" i="2"/>
  <c r="E14" i="2"/>
  <c r="D14" i="2"/>
  <c r="C14" i="2"/>
  <c r="H5" i="2"/>
  <c r="G5" i="2"/>
  <c r="F5" i="2"/>
  <c r="E5" i="2"/>
  <c r="D5" i="2"/>
  <c r="C5" i="2"/>
</calcChain>
</file>

<file path=xl/comments1.xml><?xml version="1.0" encoding="utf-8"?>
<comments xmlns="http://schemas.openxmlformats.org/spreadsheetml/2006/main">
  <authors>
    <author/>
  </authors>
  <commentList>
    <comment ref="T1" authorId="0">
      <text>
        <r>
          <rPr>
            <sz val="10"/>
            <color rgb="FF000000"/>
            <rFont val="Arial"/>
          </rPr>
          <t>Source: http://www.lucasmcnelly.com/2012/02/kickstarter-perk-distribution.html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T1" authorId="0">
      <text>
        <r>
          <rPr>
            <sz val="10"/>
            <color rgb="FF000000"/>
            <rFont val="Arial"/>
          </rPr>
          <t>Source: http://www.lucasmcnelly.com/2012/02/kickstarter-perk-distribution.html</t>
        </r>
      </text>
    </comment>
  </commentList>
</comments>
</file>

<file path=xl/sharedStrings.xml><?xml version="1.0" encoding="utf-8"?>
<sst xmlns="http://schemas.openxmlformats.org/spreadsheetml/2006/main" count="1108" uniqueCount="726">
  <si>
    <t>Project Title</t>
  </si>
  <si>
    <t>Genre</t>
  </si>
  <si>
    <t>Goal</t>
  </si>
  <si>
    <t>Pledge</t>
  </si>
  <si>
    <t>Launch Date</t>
  </si>
  <si>
    <t>End Date</t>
  </si>
  <si>
    <t>Location</t>
  </si>
  <si>
    <t>URL</t>
  </si>
  <si>
    <t>Category</t>
  </si>
  <si>
    <t>Successfully Funded Projects</t>
  </si>
  <si>
    <t>All</t>
  </si>
  <si>
    <t>Music</t>
  </si>
  <si>
    <t>% of total</t>
  </si>
  <si>
    <t>Collected</t>
  </si>
  <si>
    <t>A</t>
  </si>
  <si>
    <t>B</t>
  </si>
  <si>
    <t>C</t>
  </si>
  <si>
    <t>D</t>
  </si>
  <si>
    <t>E</t>
  </si>
  <si>
    <t>F</t>
  </si>
  <si>
    <t>http://www.kickstarter.com/help/statshttp://www.kickstarter.com/help/stats</t>
  </si>
  <si>
    <t>Research Started</t>
  </si>
  <si>
    <t>Research Goal</t>
  </si>
  <si>
    <t>Total</t>
  </si>
  <si>
    <t>Print and Distribute Brass Quintet No. 1!</t>
  </si>
  <si>
    <t>http://www.kickstarter.com/projects/136667095/print-and-distribute-brass-quintet-no-1</t>
  </si>
  <si>
    <t>Classical Music</t>
  </si>
  <si>
    <t>ID</t>
  </si>
  <si>
    <t>001</t>
  </si>
  <si>
    <t>002</t>
  </si>
  <si>
    <t>003</t>
  </si>
  <si>
    <t>West Hartford, CT</t>
  </si>
  <si>
    <t>State</t>
  </si>
  <si>
    <t>Owner</t>
  </si>
  <si>
    <t>David Schultz</t>
  </si>
  <si>
    <t>FB Friends</t>
  </si>
  <si>
    <t>Low Limit</t>
  </si>
  <si>
    <t>High Limit</t>
  </si>
  <si>
    <t>ilimited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</si>
  <si>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</si>
  <si>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</si>
  <si>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</si>
  <si>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</si>
  <si>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</si>
  <si>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</si>
  <si>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</si>
  <si>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</si>
  <si>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</si>
  <si>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NEW EarlyRise Album</t>
  </si>
  <si>
    <t>EarlyRise</t>
  </si>
  <si>
    <t>http://www.kickstarter.com/projects/314679247/new-earlyrise-album?ref=card</t>
  </si>
  <si>
    <t>Rock</t>
  </si>
  <si>
    <t>New York, NY</t>
  </si>
  <si>
    <t>Signals in the Noise</t>
  </si>
  <si>
    <t>Andrew Stiefel</t>
  </si>
  <si>
    <t>http://www.kickstarter.com/projects/andrewstiefel/signals-in-the-noise?ref=card</t>
  </si>
  <si>
    <t>Eugene, OR</t>
  </si>
  <si>
    <t>Curci "Speakeasy" CD Launch</t>
  </si>
  <si>
    <t>Curci</t>
  </si>
  <si>
    <t>http://www.kickstarter.com/projects/649813891/curci-speakeasy-cd-launch?ref=card</t>
  </si>
  <si>
    <t>Hip-Hop</t>
  </si>
  <si>
    <t>Fort Collins, CO</t>
  </si>
  <si>
    <t>RISK OF LOSS: Carl Anderson's 2nd Record</t>
  </si>
  <si>
    <t>Carl Anderson</t>
  </si>
  <si>
    <t>http://www.kickstarter.com/projects/56922157/risk-of-loss-carl-andersons-2nd-record?ref=card</t>
  </si>
  <si>
    <t>Country &amp; Folk</t>
  </si>
  <si>
    <t>Charlottesville, VA</t>
  </si>
  <si>
    <t>Nexus Chamber Orchestra's Debut Album</t>
  </si>
  <si>
    <t>Nexus Chamber Orchestra</t>
  </si>
  <si>
    <t>http://www.kickstarter.com/projects/nexusorchestra/nexus-chamber-orchestras-debut-album?ref=card</t>
  </si>
  <si>
    <t>Brentwood, TN</t>
  </si>
  <si>
    <t>Justin Berndt (The Outside Alliance) is making an EP!</t>
  </si>
  <si>
    <t>Justin Berndt</t>
  </si>
  <si>
    <t>http://www.kickstarter.com/projects/1433572932/justin-berndt-the-outside-alliance-is-making-an-ep?ref=card</t>
  </si>
  <si>
    <t>Pop</t>
  </si>
  <si>
    <t>Boulder, CO</t>
  </si>
  <si>
    <t>Sandy Bailey's New Album - "Running, Chasing"</t>
  </si>
  <si>
    <t>Sandy Bailey</t>
  </si>
  <si>
    <t>http://www.kickstarter.com/projects/1590589776/sandy-baileys-new-album-running-chasing?ref=card</t>
  </si>
  <si>
    <t>Turners Falls, MA</t>
  </si>
  <si>
    <t>Penny Rae's Debut EP!</t>
  </si>
  <si>
    <t>Penny Rae</t>
  </si>
  <si>
    <t>http://www.kickstarter.com/projects/1152235094/penny-raes-debut-ep?ref=card</t>
  </si>
  <si>
    <t>Nashville, TN</t>
  </si>
  <si>
    <t>Caterpillars First Full Length Album</t>
  </si>
  <si>
    <t>Caterpillars</t>
  </si>
  <si>
    <t>http://www.kickstarter.com/projects/1233837061/caterpillars-first-full-length-album?ref=card</t>
  </si>
  <si>
    <t>Indie Rock</t>
  </si>
  <si>
    <t>Dallas, TX</t>
  </si>
  <si>
    <t>The Freeway Revival Debut Album</t>
  </si>
  <si>
    <t>Joseph H. Lee</t>
  </si>
  <si>
    <t>http://www.kickstarter.com/projects/thefreewayrevival/the-freeway-revival-debut-album?ref=card</t>
  </si>
  <si>
    <t>Asheville, NC</t>
  </si>
  <si>
    <t>013</t>
  </si>
  <si>
    <t>014</t>
  </si>
  <si>
    <t>015</t>
  </si>
  <si>
    <t>016</t>
  </si>
  <si>
    <t>017</t>
  </si>
  <si>
    <t>018</t>
  </si>
  <si>
    <t>019</t>
  </si>
  <si>
    <t>The Great Hiatum album project</t>
  </si>
  <si>
    <t>Melissa Randel</t>
  </si>
  <si>
    <t>http://www.kickstarter.com/projects/826436250/the-great-hiatum-album-project?ref=card</t>
  </si>
  <si>
    <t>Be a backer of Aaron Allan's "Satisfaction" compilation CD</t>
  </si>
  <si>
    <t>Gary Hickinbotham / Red Nickel Records</t>
  </si>
  <si>
    <t>http://www.kickstarter.com/projects/1761800601/be-a-backer-of-aaron-allans-satisfaction-compilati?ref=card</t>
  </si>
  <si>
    <t>San Marcos, TX</t>
  </si>
  <si>
    <t>Sammy Bananas - Bootlegs Vol. 1 (limited vinyl release!)</t>
  </si>
  <si>
    <t>Sammy Bananas</t>
  </si>
  <si>
    <t>http://www.kickstarter.com/projects/1693727165/sammy-bananas-bootlegs-vol-1-limited-vinyl-release?ref=card</t>
  </si>
  <si>
    <t>Electronic Music</t>
  </si>
  <si>
    <t>Brooklyn, NY</t>
  </si>
  <si>
    <t>Help Hope &amp; Tim Glenn make a record.</t>
  </si>
  <si>
    <t>Tim Glenn</t>
  </si>
  <si>
    <t>http://www.kickstarter.com/projects/730488506/help-hope-and-tim-glenn-make-a-record?ref=card</t>
  </si>
  <si>
    <t>Salt Lake City, UT</t>
  </si>
  <si>
    <t>Mitch McVicker is recording a new 10-song CD, "Underneath"</t>
  </si>
  <si>
    <t>Mitch McVicker</t>
  </si>
  <si>
    <t>http://www.kickstarter.com/projects/37265888/mitch-mcvicker-is-recording-a-new-10-song-cd-under?ref=card</t>
  </si>
  <si>
    <t>Woodstock, GA</t>
  </si>
  <si>
    <t>Under The Half Dome: An Album by Sierra Composer, Ken Allen</t>
  </si>
  <si>
    <t>Ken Allen</t>
  </si>
  <si>
    <t>http://www.kickstarter.com/projects/mrkenallen/under-the-half-dome-an-album-by-sierra-composer-ke?ref=card</t>
  </si>
  <si>
    <t>San Francisco, CA</t>
  </si>
  <si>
    <t>Kip Fox Worship EP (The Sequel)</t>
  </si>
  <si>
    <t>Kip Fox</t>
  </si>
  <si>
    <t>http://www.kickstarter.com/projects/1143735669/kip-fox-worship-ep-the-sequel?ref=card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</si>
  <si>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</si>
  <si>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</si>
  <si>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</si>
  <si>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</si>
  <si>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</si>
  <si>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</si>
  <si>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</si>
  <si>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</si>
  <si>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</si>
  <si>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</si>
  <si>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</si>
  <si>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Annabelle's Curse presents "Hollow Creature"</t>
  </si>
  <si>
    <t>Annabelle's Curse</t>
  </si>
  <si>
    <t>http://www.kickstarter.com/projects/992715105/annabelles-curse-presents-hollow-creature?ref=card</t>
  </si>
  <si>
    <t>Bristol, VA</t>
  </si>
  <si>
    <t>LEARNING TEAM EP</t>
  </si>
  <si>
    <t>Learning Team</t>
  </si>
  <si>
    <t>http://www.kickstarter.com/projects/119234264/learning-team-ep?ref=card</t>
  </si>
  <si>
    <t>Bellingham, WA</t>
  </si>
  <si>
    <t>At your demand: The Honey on vinyl</t>
  </si>
  <si>
    <t>Deep Thinka Records, LLC</t>
  </si>
  <si>
    <t>http://www.kickstarter.com/projects/dtr45/at-your-demand-the-honey-on-vinyl?ref=card</t>
  </si>
  <si>
    <t>Buffalo, NY</t>
  </si>
  <si>
    <t>Woodruff's Acoustic Showcase- Live Recording!</t>
  </si>
  <si>
    <t>Aaron Singer</t>
  </si>
  <si>
    <t>http://www.kickstarter.com/projects/1748785992/woodruffs-acoustic-showcase-live-recording?ref=card</t>
  </si>
  <si>
    <t>Ypsilanti, MI</t>
  </si>
  <si>
    <t>Tour Preparations Needed!</t>
  </si>
  <si>
    <t>Sintonik</t>
  </si>
  <si>
    <t>http://www.kickstarter.com/projects/sintonik/tour-preparations-needed?ref=card</t>
  </si>
  <si>
    <t>A Spotless Rose: Christmas with The Ensemble CD</t>
  </si>
  <si>
    <t>Patrick McDonough</t>
  </si>
  <si>
    <t>http://www.kickstarter.com/projects/2074708576/a-spotless-rose-christmas-with-the-ensemble-cd?ref=card</t>
  </si>
  <si>
    <t>Portland, OR</t>
  </si>
  <si>
    <t>Memphis Repertory Orchestra - Debut Studio Recording</t>
  </si>
  <si>
    <t>Memphis Repertory Orchestra</t>
  </si>
  <si>
    <t>http://www.kickstarter.com/projects/mro/memphis-repertory-orchestra-debut-studio-recording?ref=card</t>
  </si>
  <si>
    <t>Memphis, TN</t>
  </si>
  <si>
    <t>MUSIC VIDEO FOR SEAS OF WAKE SONG "DYING OF HUMANITY"!</t>
  </si>
  <si>
    <t>Seas of Wake</t>
  </si>
  <si>
    <t>http://www.kickstarter.com/projects/seasofwake/music-video-for-seas-of-wake-song-dying-of-humanit?ref=card</t>
  </si>
  <si>
    <t>Hoboken, NJ</t>
  </si>
  <si>
    <t>The Boys N' The Barrels record a new album!</t>
  </si>
  <si>
    <t>The Boys N' The Barrels</t>
  </si>
  <si>
    <t>http://www.kickstarter.com/projects/1020036501/the-boys-n-the-barrels-record-a-new-album?ref=card</t>
  </si>
  <si>
    <t>Minneapolis, MN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</si>
  <si>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</si>
  <si>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</si>
  <si>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</si>
  <si>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</si>
  <si>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</si>
  <si>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</si>
  <si>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</si>
  <si>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</si>
  <si>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</si>
  <si>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</si>
  <si>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Huron Hills Worship EP - "The Wounds that Bled for Us"</t>
  </si>
  <si>
    <t>Huron Hills</t>
  </si>
  <si>
    <t>http://www.kickstarter.com/projects/17158953/huron-hills-worship-ep-the-wounds-that-bled-for-us?ref=card</t>
  </si>
  <si>
    <t>Ann Arbor, MI</t>
  </si>
  <si>
    <t>The Love Album</t>
  </si>
  <si>
    <t>Reginald Cyntje</t>
  </si>
  <si>
    <t>http://www.kickstarter.com/projects/reginaldcyntje/the-love-album-1?ref=card</t>
  </si>
  <si>
    <t>Jazz</t>
  </si>
  <si>
    <t>Washington, DC</t>
  </si>
  <si>
    <t>Deus Sunday Mass Fundraiser BBQ for SXSW Tour 2.17.13</t>
  </si>
  <si>
    <t>John Wayne Bro Band</t>
  </si>
  <si>
    <t>http://www.kickstarter.com/projects/jwb/deus-sunday-mass-fundraiser-bbq-for-sxsw-tour-2171?ref=card</t>
  </si>
  <si>
    <t>http://www.kickstarter.com/discover/categories/music/successful?ref=more#p2</t>
  </si>
  <si>
    <t>Venice, CA</t>
  </si>
  <si>
    <t>Heliotropes North American Tour 2013!</t>
  </si>
  <si>
    <t>Heliotropes</t>
  </si>
  <si>
    <t>http://www.kickstarter.com/projects/heliotropes/heliotropes-north-american-tour-2013?ref=card</t>
  </si>
  <si>
    <t>La Traviata MAX Live!</t>
  </si>
  <si>
    <t>Hubbard Hall Opera Theater</t>
  </si>
  <si>
    <t>http://www.kickstarter.com/projects/1786698809/la-traviata-max-live?ref=card</t>
  </si>
  <si>
    <t>The Evening Guests EP</t>
  </si>
  <si>
    <t>The Evening Guests</t>
  </si>
  <si>
    <t>http://www.kickstarter.com/projects/1466422789/the-evening-guests-ep?ref=card</t>
  </si>
  <si>
    <t>Los Angeles, CA</t>
  </si>
  <si>
    <t>Same Sex Mary presents "Sex Cells"</t>
  </si>
  <si>
    <t>Tsvetelina</t>
  </si>
  <si>
    <t>http://www.kickstarter.com/projects/2003760057/same-sex-mary-presents-sex-cells?ref=card</t>
  </si>
  <si>
    <t>Las Vegas, NV</t>
  </si>
  <si>
    <t>Shane Howard Band 4th CD "Rattlesnake Road"</t>
  </si>
  <si>
    <t>Shane Howard</t>
  </si>
  <si>
    <t>http://www.kickstarter.com/projects/shanehoward/shane-howard-band-4th-cd-rattlesnake-road?ref=card</t>
  </si>
  <si>
    <t>Riesel, TX</t>
  </si>
  <si>
    <t>Acoustic Sessions Club</t>
  </si>
  <si>
    <t>Sam Grow</t>
  </si>
  <si>
    <t>http://www.kickstarter.com/projects/181573521/acoustic-sessions-club?ref=card</t>
  </si>
  <si>
    <t>Tracksploitation Across The Nation</t>
  </si>
  <si>
    <t>Tracksploitation</t>
  </si>
  <si>
    <t>http://www.kickstarter.com/projects/1886567238/tracksploitation-across-the-nation?ref=card</t>
  </si>
  <si>
    <t>Dylan Lucas and the Dreamsaws Full Length Album</t>
  </si>
  <si>
    <t>Dylan Lucas Block-Harley</t>
  </si>
  <si>
    <t>http://www.kickstarter.com/projects/465188796/dylan-lucas-and-the-dreamsaws-full-length-album?ref=card</t>
  </si>
  <si>
    <t>Providence, RI</t>
  </si>
  <si>
    <t>Continuing to make new Trails</t>
  </si>
  <si>
    <t>Trails</t>
  </si>
  <si>
    <t>http://www.kickstarter.com/projects/294844962/continuing-to-make-new-trails?ref=card</t>
  </si>
  <si>
    <t>Portland, ME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</si>
  <si>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</si>
  <si>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</si>
  <si>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</si>
  <si>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</si>
  <si>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</si>
  <si>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</si>
  <si>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</si>
  <si>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</si>
  <si>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</si>
  <si>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</si>
  <si>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Bringing "Faults &amp; Fractures" to life!</t>
  </si>
  <si>
    <t>The Black Market Club</t>
  </si>
  <si>
    <t>http://www.kickstarter.com/projects/theblackmarketclub/bringing-faults-and-fractures-to-life?ref=card</t>
  </si>
  <si>
    <t>San Antonio, TX</t>
  </si>
  <si>
    <t>HELP UFN PRINT THEIR NEW RECORD ONTO VINYL!</t>
  </si>
  <si>
    <t>Justin Conigliaro</t>
  </si>
  <si>
    <t>http://www.kickstarter.com/projects/1094585571/help-ufn-print-their-new-record-onto-vinyl?ref=card</t>
  </si>
  <si>
    <t>J Ray: Some People - Prevent a Robot from Destroying Us</t>
  </si>
  <si>
    <t>J Ray</t>
  </si>
  <si>
    <t>http://www.kickstarter.com/projects/thatjray/j-ray-some-people-prevent-a-robot-from-destroying?ref=card</t>
  </si>
  <si>
    <t>Austin, TX</t>
  </si>
  <si>
    <t>Last hump to get over for Controller's debut album Undefined</t>
  </si>
  <si>
    <t>Controller</t>
  </si>
  <si>
    <t>http://www.kickstarter.com/projects/controller33/last-hump-to-get-over-for-controllers-debut-album?ref=card</t>
  </si>
  <si>
    <t>Fort Wayne, IN</t>
  </si>
  <si>
    <t>Cincinnati Chamber Opera Presents: Acis and Galatea</t>
  </si>
  <si>
    <t>Cincinnati Chamber Opera</t>
  </si>
  <si>
    <t>http://www.kickstarter.com/projects/cincichamberopera/cincinnati-chamber-opera-presents-acis-and-galatea?ref=card</t>
  </si>
  <si>
    <t>Cincinnati, OH</t>
  </si>
  <si>
    <t>Songs of Strength: A Cross-Cultural Musical Exploration</t>
  </si>
  <si>
    <t>Anthony Iannone</t>
  </si>
  <si>
    <t>http://www.kickstarter.com/projects/579603485/songs-of-strength-a-cross-cultural-musical-explora?ref=card</t>
  </si>
  <si>
    <t>Oswego, NY</t>
  </si>
  <si>
    <t>High School Nation/Tilly's Present: Brand New Life Tour</t>
  </si>
  <si>
    <t>Life After Liftoff</t>
  </si>
  <si>
    <t>http://www.kickstarter.com/projects/lifeafterliftoff/high-school-nation-tillys-present-brand-new-life-2?ref=card</t>
  </si>
  <si>
    <t>Dayton, OH</t>
  </si>
  <si>
    <t>"Up the Ante", the newest treasure from Musical Blades</t>
  </si>
  <si>
    <t>Musical Blades</t>
  </si>
  <si>
    <t>http://www.kickstarter.com/projects/686280585/up-the-ante-the-newest-treasure-from-musical-blade?ref=card</t>
  </si>
  <si>
    <t>World Music</t>
  </si>
  <si>
    <t>Kansas City, KS</t>
  </si>
  <si>
    <t>Brass Hysteria!'s new album!</t>
  </si>
  <si>
    <t>Brass Hysteria!</t>
  </si>
  <si>
    <t>http://www.kickstarter.com/projects/brasshysteria/brass-hysterias-new-album?ref=card</t>
  </si>
  <si>
    <t>Chico, CA</t>
  </si>
  <si>
    <t>Help me record/promo my EP and be among the first to get it!</t>
  </si>
  <si>
    <t>Chantry</t>
  </si>
  <si>
    <t>http://www.kickstarter.com/projects/2131863717/help-me-record-promo-my-ep-and-be-among-the-first?ref=card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</si>
  <si>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</si>
  <si>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</si>
  <si>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</si>
  <si>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</si>
  <si>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</si>
  <si>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</si>
  <si>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</si>
  <si>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</si>
  <si>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</si>
  <si>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</si>
  <si>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Producing New Album: "Murder Your Darlings"</t>
  </si>
  <si>
    <t>Alexis Pastuhov</t>
  </si>
  <si>
    <t>http://www.kickstarter.com/projects/1896682753/producing-new-album-murder-your-darlings?ref=card</t>
  </si>
  <si>
    <t>Lisa Lewis is recording her first full length album!</t>
  </si>
  <si>
    <t>Lisa Lewis</t>
  </si>
  <si>
    <t>http://www.kickstarter.com/projects/lisalewis/lisa-lewis-is-recording-her-first-full-length-albu?ref=card</t>
  </si>
  <si>
    <t>Lancaster, PA</t>
  </si>
  <si>
    <t>http://www.kickstarter.com/projects/1359814945/jetman-jet-teams-debut-album-mastering?ref=card</t>
  </si>
  <si>
    <t>Jetman Jet Team's Debut Album Mastering</t>
  </si>
  <si>
    <t>Brenan Chambers</t>
  </si>
  <si>
    <t>Seattle, WA</t>
  </si>
  <si>
    <t>Eilum Grey, Chapter 1</t>
  </si>
  <si>
    <t>Brady Daniels</t>
  </si>
  <si>
    <t>http://www.kickstarter.com/projects/1980847577/eilum-grey-chapter-1?ref=card</t>
  </si>
  <si>
    <t>Mesa, AZ</t>
  </si>
  <si>
    <t>"Let Go" Vinyl</t>
  </si>
  <si>
    <t>Corey Kilgannon</t>
  </si>
  <si>
    <t>http://www.kickstarter.com/projects/1155891351/let-go-vinyl?ref=card</t>
  </si>
  <si>
    <t>KICKSTART OUR &lt;+3</t>
  </si>
  <si>
    <t>Davey Suicide</t>
  </si>
  <si>
    <t>http://www.kickstarter.com/projects/daveysuicide/kickstart-our-3?ref=card</t>
  </si>
  <si>
    <t>Good Luck Penny's Debut EP</t>
  </si>
  <si>
    <t>Good Luck Penny</t>
  </si>
  <si>
    <t>http://www.kickstarter.com/projects/188848757/good-luck-pennys-debut-ep?ref=card</t>
  </si>
  <si>
    <t>Orlando, FL</t>
  </si>
  <si>
    <t>Scott Strandberg - Songs for The Fall (Acoustic EP)</t>
  </si>
  <si>
    <t>Scott Strandberg</t>
  </si>
  <si>
    <t>http://www.kickstarter.com/projects/2032773124/scott-strandberg-songs-for-the-fall-acoustic-ep?ref=card</t>
  </si>
  <si>
    <t>Norman, OK</t>
  </si>
  <si>
    <t>The Muzzlers debut album - "As A Matter of Courtesy"</t>
  </si>
  <si>
    <t>Nik Brink</t>
  </si>
  <si>
    <t>http://www.kickstarter.com/projects/39845720/the-muzzlers-debut-album-as-a-matter-of-courtesy?ref=card</t>
  </si>
  <si>
    <t>Chicago, IL</t>
  </si>
  <si>
    <t>KDPI-FM Drop-In Radio's Equip the Studio</t>
  </si>
  <si>
    <t>Micheal Scullion</t>
  </si>
  <si>
    <t>Ketchum, ID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</si>
  <si>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</si>
  <si>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</si>
  <si>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</si>
  <si>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</si>
  <si>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</si>
  <si>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</si>
  <si>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</si>
  <si>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</si>
  <si>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</si>
  <si>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</si>
  <si>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Samecity New EP</t>
  </si>
  <si>
    <t>Samecity</t>
  </si>
  <si>
    <t>http://www.kickstarter.com/projects/samecity/samecity-new-ep?ref=card</t>
  </si>
  <si>
    <t>Houghton, NY</t>
  </si>
  <si>
    <t>Volatile Minds raising funds in 30 days to record our NEW EP</t>
  </si>
  <si>
    <t>VOLATILE MINDS</t>
  </si>
  <si>
    <t>http://www.kickstarter.com/projects/volatileminds/volatile-minds-raising-funds-in-30-days-to-record?ref=card</t>
  </si>
  <si>
    <t>Glendale, AZ</t>
  </si>
  <si>
    <t>Matt Thomas Debut EP!</t>
  </si>
  <si>
    <t>Matt Thomas</t>
  </si>
  <si>
    <t>http://www.kickstarter.com/projects/1877687970/matt-thomas-debut-ep?ref=card</t>
  </si>
  <si>
    <t>Atlanta, GA</t>
  </si>
  <si>
    <t>Katrina Parker is Cooking up an Album for YOU!</t>
  </si>
  <si>
    <t>Katrina Parker</t>
  </si>
  <si>
    <t>http://www.kickstarter.com/projects/845696621/katrina-parker-is-cooking-up-an-album-for-you?ref=card</t>
  </si>
  <si>
    <t>South Rail's Self-Titled EP</t>
  </si>
  <si>
    <t>Lara Supan</t>
  </si>
  <si>
    <t>http://www.kickstarter.com/projects/1329110611/south-rails-self-titled-ep?ref=card</t>
  </si>
  <si>
    <t>"Every Wish" solo CD</t>
  </si>
  <si>
    <t>Nate Borofsky</t>
  </si>
  <si>
    <t>http://www.kickstarter.com/projects/1381829906/every-wish-solo-cd?ref=card</t>
  </si>
  <si>
    <t>Rite On! Rite Now! - DEBUT Album Release -</t>
  </si>
  <si>
    <t>Gilbert "Catfish" Mares</t>
  </si>
  <si>
    <t>http://www.kickstarter.com/projects/1516210315/rite-on-rite-now-debut-album-release?ref=card</t>
  </si>
  <si>
    <t>Oceanside, CA</t>
  </si>
  <si>
    <t>lauren krothe's debut album - child of babylon</t>
  </si>
  <si>
    <t>lauren krothe</t>
  </si>
  <si>
    <t>http://www.kickstarter.com/projects/laurenkrothe/lauren-krothes-debut-album-child-of-babylon?ref=card</t>
  </si>
  <si>
    <t>Lake Worth, FL</t>
  </si>
  <si>
    <t>PAT WAGGY LP by North Dakota</t>
  </si>
  <si>
    <t>Mo Neuharth</t>
  </si>
  <si>
    <t>http://www.kickstarter.com/projects/1128322984/pat-waggy-lp-by-north-dakota?ref=card</t>
  </si>
  <si>
    <t>Tempe, AZ</t>
  </si>
  <si>
    <t>Ritchie DeCarlo - WEEK - my first solo album</t>
  </si>
  <si>
    <t>Ritchie deCarlo</t>
  </si>
  <si>
    <t>http://www.kickstarter.com/projects/1538085815/ritchie-decarlo-week-my-first-solo-album?ref=card</t>
  </si>
  <si>
    <t>Philadelphia, PA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</si>
  <si>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</si>
  <si>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</si>
  <si>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</si>
  <si>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</si>
  <si>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</si>
  <si>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</si>
  <si>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</si>
  <si>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</si>
  <si>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</si>
  <si>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</si>
  <si>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</si>
  <si>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</si>
  <si>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</si>
  <si>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</si>
  <si>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</si>
  <si>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</si>
  <si>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</si>
  <si>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</si>
  <si>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</si>
  <si>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</si>
  <si>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</si>
  <si>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</si>
  <si>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</si>
  <si>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</si>
  <si>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</si>
  <si>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</si>
  <si>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</si>
  <si>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</si>
  <si>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</si>
  <si>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</si>
  <si>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MonkeyLove on the Road to HONK! TX</t>
  </si>
  <si>
    <t>MMMB</t>
  </si>
  <si>
    <t>http://www.kickstarter.com/projects/mmmb/monkeylove-on-the-road-to-honk-tx?ref=card</t>
  </si>
  <si>
    <t>Lexington, KY</t>
  </si>
  <si>
    <t>JOSHUA BAEZ's Album Release</t>
  </si>
  <si>
    <t>Joshua Baez</t>
  </si>
  <si>
    <t>http://www.kickstarter.com/projects/joshbaezmusic/joshua-baezs-album-release?ref=card</t>
  </si>
  <si>
    <t>Bellevue, WA</t>
  </si>
  <si>
    <t>Music Video "The Smoke" by Hamin Reed</t>
  </si>
  <si>
    <t>Jeffrey</t>
  </si>
  <si>
    <t>http://www.kickstarter.com/projects/162286821/music-video-the-smoke-by-hamin-reed?ref=card</t>
  </si>
  <si>
    <t>Unwoman's Uncovered Vol 2: Lemniscate - Looping Cello covers</t>
  </si>
  <si>
    <t>unwoman</t>
  </si>
  <si>
    <t>http://www.kickstarter.com/projects/unwoman/unwomans-uncovered-vol-2-lemniscate-looping-cello?ref=card</t>
  </si>
  <si>
    <t>Oakland, CA</t>
  </si>
  <si>
    <t>Help fund MISC. AILMENTS first FULL LENGTH album!!</t>
  </si>
  <si>
    <t>Misc. Ailments</t>
  </si>
  <si>
    <t>http://www.kickstarter.com/projects/1491602809/help-fund-misc-ailments-first-full-length-album?ref=card</t>
  </si>
  <si>
    <t>San Diego, CA</t>
  </si>
  <si>
    <t>Ned Durrett and the Kindly Gents First Full-Length Album</t>
  </si>
  <si>
    <t>Ned Durrett</t>
  </si>
  <si>
    <t>http://www.kickstarter.com/projects/1262788148/ned-durrett-and-the-kindly-gents-first-full-length?ref=card</t>
  </si>
  <si>
    <t>Columbia, SC</t>
  </si>
  <si>
    <t>Concert with the Aoede Consort</t>
  </si>
  <si>
    <t>Nicholas Ascioti</t>
  </si>
  <si>
    <t>http://www.kickstarter.com/projects/527111109/concert-with-the-aoede-consort?ref=card</t>
  </si>
  <si>
    <t>Wynantskill, NY</t>
  </si>
  <si>
    <t>http://www.kickstarter.com/projects/89640842/burning-bridget-cleary-creates-a-new-album?ref=card</t>
  </si>
  <si>
    <t>Burning Bridget Cleary Creates a New Album!</t>
  </si>
  <si>
    <t>Rose Baldino</t>
  </si>
  <si>
    <t>The Brainiac Project</t>
  </si>
  <si>
    <t>Jabari "Naledge" Evans</t>
  </si>
  <si>
    <t>http://www.kickstarter.com/projects/471621891/the-brainiac-project?ref=card</t>
  </si>
  <si>
    <t>Help Ez Kebage Do Unto Mothers!</t>
  </si>
  <si>
    <t>Adam Woehrle</t>
  </si>
  <si>
    <t>http://www.kickstarter.com/projects/316404526/help-ez-kebage-do-unto-mothers?ref=card</t>
  </si>
  <si>
    <t>The Schola Cantorum St. Matthew Passion Project</t>
  </si>
  <si>
    <t>http://www.kickstarter.com/projects/813943161/the-schola-cantorum-st-matthew-passion-project?ref=card</t>
  </si>
  <si>
    <t>Stanford, CA</t>
  </si>
  <si>
    <t>Painted In Blood: Carnival of Souls the debut album</t>
  </si>
  <si>
    <t>Schola Cantorum</t>
  </si>
  <si>
    <t>Adam Arcane</t>
  </si>
  <si>
    <t>http://www.kickstarter.com/projects/737515403/painted-in-blood-carnival-of-souls-the-debut-album?ref=card</t>
  </si>
  <si>
    <t>Columbia, MO</t>
  </si>
  <si>
    <t>Shook Foil's Very First Full-Length Album</t>
  </si>
  <si>
    <t>Shook Foil</t>
  </si>
  <si>
    <t>http://www.kickstarter.com/projects/1627517340/shook-foils-very-first-full-length-album?ref=card</t>
  </si>
  <si>
    <t>Let's finish Ashleigh Flynn's "A Million Stars" LP!</t>
  </si>
  <si>
    <t>Ashleigh Flynn</t>
  </si>
  <si>
    <t>http://www.kickstarter.com/projects/1523048139/lets-finish-ashleigh-flynns-a-million-stars-lp?ref=card</t>
  </si>
  <si>
    <t>Ron E Rawhoof debut album "Too Much To Lose"</t>
  </si>
  <si>
    <t>Ron E Rawhoof</t>
  </si>
  <si>
    <t>http://www.kickstarter.com/projects/486519799/ron-e-rawhoof-debut-album-too-much-to-lose?ref=card</t>
  </si>
  <si>
    <t>Rockford, IL</t>
  </si>
  <si>
    <t>BETWEEN HURRICANE AND HARBOR</t>
  </si>
  <si>
    <t>This The Rescue</t>
  </si>
  <si>
    <t>http://www.kickstarter.com/projects/thistherescue/between-hurricane-and-harbor?ref=card</t>
  </si>
  <si>
    <t>Westminster, MD</t>
  </si>
  <si>
    <t>Bogg's "So Happy, It Hurts" Recording and Vinyl Pressing</t>
  </si>
  <si>
    <t>Bogg</t>
  </si>
  <si>
    <t>http://www.kickstarter.com/projects/1993719875/boggs-so-happy-it-hurts-recording-and-vinyl-pressi?ref=card</t>
  </si>
  <si>
    <t>Jenny Leigh Records in Nashville!</t>
  </si>
  <si>
    <t>Jenny Leigh</t>
  </si>
  <si>
    <t>http://www.kickstarter.com/projects/1387596491/jenny-leigh-records-in-nashville?ref=card</t>
  </si>
  <si>
    <t>Jimmy Marino's Full-Length Studio Album</t>
  </si>
  <si>
    <t>Jimmy Marino</t>
  </si>
  <si>
    <t>http://www.kickstarter.com/projects/jimmymarino/jimmy-marinos-full-length-studio-album?ref=card</t>
  </si>
  <si>
    <t>Boston, MA</t>
  </si>
  <si>
    <t>Lost Element is hitting the road with 10 Years!!</t>
  </si>
  <si>
    <t>Lost Element</t>
  </si>
  <si>
    <t>http://www.kickstarter.com/projects/lostelement/lost-element-is-hitting-the-road-with-10-years?ref=card</t>
  </si>
  <si>
    <t>Houston, TX</t>
  </si>
  <si>
    <t>The Land Trio Album!</t>
  </si>
  <si>
    <t>The Land Trio</t>
  </si>
  <si>
    <t>http://www.kickstarter.com/projects/thelandtrio/the-land-trio-album?ref=card</t>
  </si>
  <si>
    <t>Frank Palangi "I AM READY" album funding</t>
  </si>
  <si>
    <t>Frank</t>
  </si>
  <si>
    <t>http://www.kickstarter.com/projects/frankpalangi/frank-palangi-i-am-ready-album-funding?ref=card</t>
  </si>
  <si>
    <t>Glen Falls, NY</t>
  </si>
  <si>
    <t>Help The Rose Factor Make A Record with Tedd T</t>
  </si>
  <si>
    <t>Thomas Rose</t>
  </si>
  <si>
    <t>http://www.kickstarter.com/projects/368098696/help-the-rose-factor-make-a-record-with-tedd-t?ref=card</t>
  </si>
  <si>
    <t>Nashville Davidson (Balance), TN</t>
  </si>
  <si>
    <t>Remedy Drive Spring Tour 2013</t>
  </si>
  <si>
    <t>Remedy Drive</t>
  </si>
  <si>
    <t>http://www.kickstarter.com/projects/305708358/remedy-drive-spring-tour-2013?ref=card</t>
  </si>
  <si>
    <t>The Soul Connection</t>
  </si>
  <si>
    <t>Brian J Hull</t>
  </si>
  <si>
    <t>http://www.kickstarter.com/projects/1862876889/the-soul-connection?ref=card</t>
  </si>
  <si>
    <t>Accents - "Alright With Me" Music Video</t>
  </si>
  <si>
    <t>TJ Foster</t>
  </si>
  <si>
    <t>http://www.kickstarter.com/projects/1167151466/accents-alright-with-me-music-video?ref=card</t>
  </si>
  <si>
    <t>Albany, NY</t>
  </si>
  <si>
    <t>Face The Day</t>
  </si>
  <si>
    <t>Eli</t>
  </si>
  <si>
    <t>http://www.kickstarter.com/projects/psdsp/face-the-day?ref=card</t>
  </si>
  <si>
    <t>Fairfax, CA</t>
  </si>
  <si>
    <t>Swimming With Bears :: NEW &amp; FIRST Full Feature Album!</t>
  </si>
  <si>
    <t>Swimming With Bears</t>
  </si>
  <si>
    <t>http://www.kickstarter.com/projects/682873850/swimming-with-bears-pledge-and-help-first-feature?ref=card</t>
  </si>
  <si>
    <t>I Is Another Is Ian And Jonah And You</t>
  </si>
  <si>
    <t>JonahMatrangaDotCom</t>
  </si>
  <si>
    <t>http://www.kickstarter.com/projects/jonahmatrangadotcom/i-is-another-is-ian-and-jonah-and-you?ref=card</t>
  </si>
  <si>
    <t>New EP "This Way Home" from CR Smith!</t>
  </si>
  <si>
    <t>CR Smith</t>
  </si>
  <si>
    <t>http://www.kickstarter.com/projects/1407653995/new-ep-this-way-home-from-cr-smith?ref=card</t>
  </si>
  <si>
    <t>Billings, MT</t>
  </si>
  <si>
    <t>101</t>
  </si>
  <si>
    <t>Virtual Choir 4: Bliss</t>
  </si>
  <si>
    <t>Eric Whitacre</t>
  </si>
  <si>
    <t>http://www.kickstarter.com/projects/2085483835/virtual-choir-4-bliss</t>
  </si>
  <si>
    <t>Amanda Palmer: The new RECORD, ART BOOK, and TOUR</t>
  </si>
  <si>
    <t>Amanda Palmer</t>
  </si>
  <si>
    <t>http://www.kickstarter.com/projects/amandapalmer/amanda-palmer-the-new-record-art-book-and-tour</t>
  </si>
  <si>
    <t>Schenectady, NY</t>
  </si>
  <si>
    <t>Mechanicsville, MD</t>
  </si>
  <si>
    <t>Pittsburgh, PA</t>
  </si>
  <si>
    <t>Sirens &amp; Stars jazz singer/songwriter Chantal Thompson</t>
  </si>
  <si>
    <t>Chantal Thompson</t>
  </si>
  <si>
    <t>http://www.kickstarter.com/projects/238597852/sirens-and-stars-jazz-singer-songwriter-chantal-th?ref=card</t>
  </si>
  <si>
    <t>Backers Check</t>
  </si>
  <si>
    <t>Backers Count</t>
  </si>
  <si>
    <t>Pledge Count</t>
  </si>
  <si>
    <t>Reward Level 1</t>
  </si>
  <si>
    <t>Reward Level 2</t>
  </si>
  <si>
    <t>Reward Level 3</t>
  </si>
  <si>
    <t>Reward Level 4</t>
  </si>
  <si>
    <t>Reward Level 5</t>
  </si>
  <si>
    <t>Reward Level 6</t>
  </si>
  <si>
    <t>Reward Level 7</t>
  </si>
  <si>
    <t>Reward Level 8</t>
  </si>
  <si>
    <t>Reward Level 9</t>
  </si>
  <si>
    <t>Reward Level 10</t>
  </si>
  <si>
    <t>Reward Level 11</t>
  </si>
  <si>
    <t>Reward Level 12</t>
  </si>
  <si>
    <t>Reward Level 13</t>
  </si>
  <si>
    <t>Reward Level 14</t>
  </si>
  <si>
    <t>Reward Level 15</t>
  </si>
  <si>
    <t>Reward Level 16</t>
  </si>
  <si>
    <t>Reward Level 17</t>
  </si>
  <si>
    <t>Reward Level 18</t>
  </si>
  <si>
    <t>Reward Level 19</t>
  </si>
  <si>
    <t>Reward Level 20</t>
  </si>
  <si>
    <t>Reward Level 21</t>
  </si>
  <si>
    <t>Reward Level 22</t>
  </si>
  <si>
    <t>Reward Level 23</t>
  </si>
  <si>
    <t>Reward Level 24</t>
  </si>
  <si>
    <t>Reward Level 25</t>
  </si>
  <si>
    <t>Reward Level 26</t>
  </si>
  <si>
    <t>Reward Level 28</t>
  </si>
  <si>
    <t>Reward Level 29</t>
  </si>
  <si>
    <t>Reward Level 30</t>
  </si>
  <si>
    <t>Reward Level 31</t>
  </si>
  <si>
    <t>Reward Level 32</t>
  </si>
  <si>
    <t>Reward Level 33</t>
  </si>
  <si>
    <t>Reward Level 34</t>
  </si>
  <si>
    <t>Reward Level 35</t>
  </si>
  <si>
    <t>Reward Level 36</t>
  </si>
  <si>
    <t>Backers Level 1</t>
  </si>
  <si>
    <t>Backers Level 2</t>
  </si>
  <si>
    <t>Backers Level 3</t>
  </si>
  <si>
    <t>Backers Level 4</t>
  </si>
  <si>
    <t>Backers Level 5</t>
  </si>
  <si>
    <t>Backers Level 6</t>
  </si>
  <si>
    <t>Backers Level 7</t>
  </si>
  <si>
    <t>Backers Level 8</t>
  </si>
  <si>
    <t>Backers Level 9</t>
  </si>
  <si>
    <t>Backers Level 10</t>
  </si>
  <si>
    <t>Backers Level 11</t>
  </si>
  <si>
    <t>Backers Level 12</t>
  </si>
  <si>
    <t>Backers Level 13</t>
  </si>
  <si>
    <t>Backers Level 14</t>
  </si>
  <si>
    <t>Backers Level 15</t>
  </si>
  <si>
    <t>Backers Level 16</t>
  </si>
  <si>
    <t>Backers Level 17</t>
  </si>
  <si>
    <t>Backers Level 18</t>
  </si>
  <si>
    <t>Backers Level 19</t>
  </si>
  <si>
    <t>Backers Level 20</t>
  </si>
  <si>
    <t>Backers Level 21</t>
  </si>
  <si>
    <t>Backers Level 22</t>
  </si>
  <si>
    <t>Backers Level 23</t>
  </si>
  <si>
    <t>Backers Level 24</t>
  </si>
  <si>
    <t>Backers Level 25</t>
  </si>
  <si>
    <t>Backers Level 26</t>
  </si>
  <si>
    <t>Backers Level 27</t>
  </si>
  <si>
    <t>Backers Level 28</t>
  </si>
  <si>
    <t>Backers Level 29</t>
  </si>
  <si>
    <t>Backers Level 30</t>
  </si>
  <si>
    <t>Backers Level 31</t>
  </si>
  <si>
    <t>Backers Level 32</t>
  </si>
  <si>
    <t>Backers Level 33</t>
  </si>
  <si>
    <t>Backers Level 34</t>
  </si>
  <si>
    <t>Backers Level 35</t>
  </si>
  <si>
    <t>Backers Level 36</t>
  </si>
  <si>
    <t>Research Date</t>
  </si>
  <si>
    <t>Pledge Check</t>
  </si>
  <si>
    <t>Rewards Backed</t>
  </si>
  <si>
    <t>Grand Total</t>
  </si>
  <si>
    <t>Reward Level 27</t>
  </si>
  <si>
    <t>Pledge Category</t>
  </si>
  <si>
    <t>http://www.kickstarter.com/projects/1500592139/kdpi-fm-drop-in-radios-equip-the-studio</t>
  </si>
  <si>
    <t>Rewards Category</t>
  </si>
  <si>
    <t>Backers/FB Friend</t>
  </si>
  <si>
    <t>Sources</t>
  </si>
  <si>
    <t>difference between the backers summary and backers checked</t>
  </si>
  <si>
    <t>Undisclosed Backers</t>
  </si>
  <si>
    <t>Exceeding Contributions</t>
  </si>
  <si>
    <t>102</t>
  </si>
  <si>
    <t>&gt;$0-$5</t>
  </si>
  <si>
    <t>&gt;$5-$10</t>
  </si>
  <si>
    <t>&gt;$10-$25</t>
  </si>
  <si>
    <t>&gt;$25-$50</t>
  </si>
  <si>
    <t>&gt;$50-$100</t>
  </si>
  <si>
    <t>&gt;$100-$250</t>
  </si>
  <si>
    <t>&gt;$250-$500</t>
  </si>
  <si>
    <t>&gt;$500-$1,000</t>
  </si>
  <si>
    <t>&gt;$1,000-$2,500</t>
  </si>
  <si>
    <t>&gt;$2,501</t>
  </si>
  <si>
    <t xml:space="preserve">Undisclosed </t>
  </si>
  <si>
    <t>A - Less than $1,000 Raised</t>
  </si>
  <si>
    <t>B - $1,000 to $9,999 Raised</t>
  </si>
  <si>
    <t>C - $10,000 to $19,999 Raised</t>
  </si>
  <si>
    <t>D - $20,000 to $99,999 Raised</t>
  </si>
  <si>
    <t>E - $100K  to $999,999 Raised</t>
  </si>
  <si>
    <t>F - $1M Raised</t>
  </si>
  <si>
    <t>$/Backer</t>
  </si>
  <si>
    <t xml:space="preserve">&gt;$0-$5 </t>
  </si>
  <si>
    <t xml:space="preserve">&gt;$5-$10 </t>
  </si>
  <si>
    <t xml:space="preserve">&gt;$10-$25 </t>
  </si>
  <si>
    <t xml:space="preserve">&gt;$25-$50 </t>
  </si>
  <si>
    <t xml:space="preserve">&gt;$50-$100 </t>
  </si>
  <si>
    <t xml:space="preserve">&gt;$100-$250 </t>
  </si>
  <si>
    <t xml:space="preserve">&gt;$500-$1,000 </t>
  </si>
  <si>
    <t xml:space="preserve">&gt;$2,501 </t>
  </si>
  <si>
    <t>Rewards Tiers</t>
  </si>
  <si>
    <t>Backed Tiers</t>
  </si>
  <si>
    <t>Qty</t>
  </si>
  <si>
    <t>Preproduction (arrangement, rehearsals, etc)</t>
  </si>
  <si>
    <t>Copyright Administration (licenses, registration. etc)</t>
  </si>
  <si>
    <t>Recording Studio</t>
  </si>
  <si>
    <t>Mixing/Mastering</t>
  </si>
  <si>
    <t>Transportation</t>
  </si>
  <si>
    <t>Equipment Rental</t>
  </si>
  <si>
    <t>Producer Fees</t>
  </si>
  <si>
    <t>Union/Musician Fees</t>
  </si>
  <si>
    <t>Artwork (photoshoot, graphic design, etc)</t>
  </si>
  <si>
    <t>Manufacturing</t>
  </si>
  <si>
    <t>Unforeseen Expenses (10%)</t>
  </si>
  <si>
    <t>Band Savings</t>
  </si>
  <si>
    <t>Remaining Balance (to be raised via crowdfunding)</t>
  </si>
  <si>
    <t>Straight Budget Goal</t>
  </si>
  <si>
    <t>Breakeven Goal</t>
  </si>
  <si>
    <t>Contribution</t>
  </si>
  <si>
    <t>Estimated
# of Backers</t>
  </si>
  <si>
    <t>Estimated
Cost</t>
  </si>
  <si>
    <t>Estimated 
# of Backers</t>
  </si>
  <si>
    <t>Album Download and Stickers</t>
  </si>
  <si>
    <t>All of the Above + CD</t>
  </si>
  <si>
    <t>All of the Above + Autographed CD</t>
  </si>
  <si>
    <t>All of the Above + T-shirt</t>
  </si>
  <si>
    <t>All of the Above + Poster</t>
  </si>
  <si>
    <t>All of the Above + 1h Skype Class</t>
  </si>
  <si>
    <t>All of the Above + Visit to the Studio</t>
  </si>
  <si>
    <t>All of the Above + Concert VIP Ticket</t>
  </si>
  <si>
    <t>All of the Above + Producer Credit</t>
  </si>
  <si>
    <t>All of the Above + Private Concert</t>
  </si>
  <si>
    <t>N/A</t>
  </si>
  <si>
    <t>Donation</t>
  </si>
  <si>
    <t>Taxes</t>
  </si>
  <si>
    <t>Fees</t>
  </si>
  <si>
    <t>Contingency</t>
  </si>
  <si>
    <t>Net Balance</t>
  </si>
  <si>
    <t>DATA</t>
  </si>
  <si>
    <t>Avg. $/Backer</t>
  </si>
  <si>
    <t>Budget Needed</t>
  </si>
  <si>
    <t>Kickstarter (5%) and Processing (5%)</t>
  </si>
  <si>
    <t>Cost of Capital</t>
  </si>
  <si>
    <t>Pledge Category and Genre</t>
  </si>
  <si>
    <t>Legend</t>
  </si>
  <si>
    <t>Projects are aggregated first by the amount raised (pledge), then by genres, as specified by the project owner.</t>
  </si>
  <si>
    <t>Quantity of projects analyzed in each category/sub-category</t>
  </si>
  <si>
    <t>Average goal set for the projects in each category/sub-category</t>
  </si>
  <si>
    <t>Average amount raised by the projects in each category/sub-category</t>
  </si>
  <si>
    <t>Backers</t>
  </si>
  <si>
    <t>Average amount of backers that contributed to projects in each category/sub-category</t>
  </si>
  <si>
    <t>Average percentage that backers represent from the total of FB Friends from the project owner (when FB account is linked to Kickstarter)</t>
  </si>
  <si>
    <t>Average number of rewards tiers offered for projects in each category/sub-category</t>
  </si>
  <si>
    <t>Average number of rewards tiers that were effectively supported by at least one backer</t>
  </si>
  <si>
    <t>Rewards Categories</t>
  </si>
  <si>
    <t>Rewards</t>
  </si>
  <si>
    <t>Reward Cost</t>
  </si>
  <si>
    <t>Total Tier Cost</t>
  </si>
  <si>
    <t>Distribution</t>
  </si>
  <si>
    <t>Adjusted Goal</t>
  </si>
  <si>
    <t>avg $/backer</t>
  </si>
  <si>
    <t xml:space="preserve">KS </t>
  </si>
  <si>
    <t>Avg Pledge</t>
  </si>
  <si>
    <t>Avg Backers</t>
  </si>
  <si>
    <t>Avg Pledge/Backer</t>
  </si>
  <si>
    <t>Avg Goal</t>
  </si>
  <si>
    <t>Avg Backers/FB Friends</t>
  </si>
  <si>
    <t>Rewards Offered</t>
  </si>
  <si>
    <t>Avg Rewards Offered</t>
  </si>
  <si>
    <t>Avg Rewards Backed</t>
  </si>
  <si>
    <t xml:space="preserve">&gt;$250-$500  </t>
  </si>
  <si>
    <t xml:space="preserve">&gt;$1,000-$2,500  </t>
  </si>
  <si>
    <t xml:space="preserve">Undisclosed Backers  </t>
  </si>
  <si>
    <t>Average percentage of backers in each category from the total number of backers (&gt;$0-$5, &gt;$5-$10, etc. Undisclosed is the number of backers that weren't assigned to a specific tier.</t>
  </si>
  <si>
    <t>Rewards Cost Percentage</t>
  </si>
  <si>
    <t>.</t>
  </si>
  <si>
    <t xml:space="preserve">&gt;$0 &lt;$5 </t>
  </si>
  <si>
    <t xml:space="preserve">&gt;$5 &lt;$10 </t>
  </si>
  <si>
    <t xml:space="preserve">&gt;$10 &lt;$25 </t>
  </si>
  <si>
    <t xml:space="preserve">&gt;$25 &lt;$50 </t>
  </si>
  <si>
    <t xml:space="preserve">&gt;$50 &lt;$100 </t>
  </si>
  <si>
    <t xml:space="preserve">&gt;$100 &lt;$250 </t>
  </si>
  <si>
    <t xml:space="preserve">&gt;$250 &lt;$500  </t>
  </si>
  <si>
    <t xml:space="preserve">&gt;$500  &lt;$1,000 </t>
  </si>
  <si>
    <t xml:space="preserve">&gt;$1,000 &lt;$2,500  </t>
  </si>
  <si>
    <t>Und</t>
  </si>
  <si>
    <t>A - Less than $1,000</t>
  </si>
  <si>
    <t>B - $1,000 to $9,999</t>
  </si>
  <si>
    <t>C - $10,000 to $19,999</t>
  </si>
  <si>
    <t>D - $20,000 to $99,999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</si>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</sst>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0"/>
  </numFmts>
  <fonts count="2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333333"/>
      <name val="Helvetica"/>
    </font>
    <font>
      <sz val="12"/>
      <color rgb="FF333333"/>
      <name val="Helvetica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sz val="10"/>
      <color rgb="FF000000"/>
      <name val="Arial"/>
    </font>
    <font>
      <b/>
      <sz val="10"/>
      <color rgb="FF000000"/>
      <name val="Arial"/>
    </font>
    <font>
      <sz val="12"/>
      <color theme="0"/>
      <name val="Calibri"/>
      <family val="2"/>
      <scheme val="minor"/>
    </font>
    <font>
      <sz val="12"/>
      <color theme="4" tint="-0.249977111117893"/>
      <name val="Calibri"/>
      <scheme val="minor"/>
    </font>
    <font>
      <sz val="12"/>
      <color theme="1"/>
      <name val="Cambria"/>
    </font>
    <font>
      <sz val="12"/>
      <color theme="0" tint="-0.499984740745262"/>
      <name val="Calibri"/>
      <scheme val="minor"/>
    </font>
    <font>
      <sz val="14"/>
      <color theme="1"/>
      <name val="Calibri"/>
      <scheme val="minor"/>
    </font>
    <font>
      <sz val="14"/>
      <color theme="0" tint="-0.499984740745262"/>
      <name val="Calibri"/>
      <scheme val="minor"/>
    </font>
    <font>
      <b/>
      <sz val="10"/>
      <color rgb="FF000000"/>
      <name val="Calibri"/>
      <scheme val="minor"/>
    </font>
    <font>
      <sz val="10"/>
      <color theme="0"/>
      <name val="Calibri"/>
      <scheme val="minor"/>
    </font>
    <font>
      <sz val="10"/>
      <color rgb="FF000000"/>
      <name val="Calibri"/>
      <scheme val="minor"/>
    </font>
    <font>
      <b/>
      <sz val="10"/>
      <color theme="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04">
    <xf numFmtId="0" fontId="0" fillId="0" borderId="0"/>
    <xf numFmtId="9" fontId="3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63">
    <xf numFmtId="0" fontId="0" fillId="0" borderId="0" xfId="0"/>
    <xf numFmtId="0" fontId="4" fillId="0" borderId="0" xfId="0" applyFont="1"/>
    <xf numFmtId="0" fontId="0" fillId="0" borderId="0" xfId="0" applyAlignment="1"/>
    <xf numFmtId="0" fontId="4" fillId="0" borderId="0" xfId="0" applyFont="1" applyAlignment="1">
      <alignment horizontal="center"/>
    </xf>
    <xf numFmtId="0" fontId="0" fillId="0" borderId="0" xfId="0" applyFont="1"/>
    <xf numFmtId="0" fontId="7" fillId="0" borderId="0" xfId="0" applyFont="1"/>
    <xf numFmtId="10" fontId="0" fillId="0" borderId="0" xfId="0" applyNumberFormat="1" applyFont="1"/>
    <xf numFmtId="3" fontId="8" fillId="0" borderId="0" xfId="0" applyNumberFormat="1" applyFont="1"/>
    <xf numFmtId="0" fontId="8" fillId="0" borderId="0" xfId="0" applyFont="1"/>
    <xf numFmtId="0" fontId="0" fillId="0" borderId="0" xfId="0" applyFont="1" applyAlignment="1">
      <alignment horizontal="right"/>
    </xf>
    <xf numFmtId="3" fontId="8" fillId="0" borderId="0" xfId="0" applyNumberFormat="1" applyFont="1" applyAlignment="1">
      <alignment horizontal="right"/>
    </xf>
    <xf numFmtId="10" fontId="3" fillId="0" borderId="0" xfId="1" applyNumberFormat="1" applyFont="1"/>
    <xf numFmtId="0" fontId="5" fillId="0" borderId="0" xfId="10"/>
    <xf numFmtId="164" fontId="4" fillId="0" borderId="0" xfId="0" applyNumberFormat="1" applyFont="1" applyAlignment="1">
      <alignment wrapText="1"/>
    </xf>
    <xf numFmtId="14" fontId="0" fillId="0" borderId="0" xfId="0" applyNumberFormat="1"/>
    <xf numFmtId="14" fontId="4" fillId="0" borderId="0" xfId="0" applyNumberFormat="1" applyFont="1"/>
    <xf numFmtId="0" fontId="0" fillId="0" borderId="0" xfId="0" applyAlignment="1">
      <alignment horizontal="right"/>
    </xf>
    <xf numFmtId="0" fontId="4" fillId="0" borderId="0" xfId="0" applyFont="1" applyAlignment="1">
      <alignment wrapText="1"/>
    </xf>
    <xf numFmtId="0" fontId="0" fillId="2" borderId="0" xfId="0" applyFill="1"/>
    <xf numFmtId="164" fontId="0" fillId="0" borderId="0" xfId="0" applyNumberFormat="1" applyAlignment="1"/>
    <xf numFmtId="164" fontId="9" fillId="0" borderId="0" xfId="0" applyNumberFormat="1" applyFont="1"/>
    <xf numFmtId="0" fontId="9" fillId="0" borderId="0" xfId="0" applyFont="1"/>
    <xf numFmtId="49" fontId="0" fillId="0" borderId="0" xfId="0" applyNumberFormat="1"/>
    <xf numFmtId="0" fontId="0" fillId="0" borderId="0" xfId="0" applyBorder="1"/>
    <xf numFmtId="0" fontId="0" fillId="0" borderId="0" xfId="0" applyBorder="1" applyAlignment="1"/>
    <xf numFmtId="14" fontId="0" fillId="0" borderId="0" xfId="0" applyNumberFormat="1" applyBorder="1"/>
    <xf numFmtId="164" fontId="0" fillId="0" borderId="0" xfId="0" applyNumberFormat="1" applyBorder="1" applyAlignment="1"/>
    <xf numFmtId="164" fontId="9" fillId="0" borderId="0" xfId="0" applyNumberFormat="1" applyFont="1" applyBorder="1"/>
    <xf numFmtId="0" fontId="9" fillId="0" borderId="0" xfId="0" applyFont="1" applyBorder="1"/>
    <xf numFmtId="0" fontId="0" fillId="0" borderId="0" xfId="0" applyFill="1"/>
    <xf numFmtId="0" fontId="0" fillId="0" borderId="0" xfId="0" applyFill="1" applyBorder="1"/>
    <xf numFmtId="165" fontId="4" fillId="0" borderId="0" xfId="0" applyNumberFormat="1" applyFont="1" applyAlignment="1">
      <alignment horizontal="center"/>
    </xf>
    <xf numFmtId="0" fontId="0" fillId="0" borderId="0" xfId="0" applyNumberFormat="1" applyBorder="1"/>
    <xf numFmtId="0" fontId="0" fillId="0" borderId="0" xfId="0" applyNumberFormat="1" applyFill="1" applyBorder="1"/>
    <xf numFmtId="10" fontId="4" fillId="0" borderId="0" xfId="0" applyNumberFormat="1" applyFont="1"/>
    <xf numFmtId="0" fontId="7" fillId="0" borderId="0" xfId="0" applyFont="1"/>
    <xf numFmtId="164" fontId="0" fillId="0" borderId="0" xfId="0" applyNumberFormat="1"/>
    <xf numFmtId="164" fontId="0" fillId="0" borderId="0" xfId="0" applyNumberFormat="1" applyBorder="1"/>
    <xf numFmtId="1" fontId="4" fillId="0" borderId="0" xfId="25" applyNumberFormat="1" applyFont="1" applyAlignment="1">
      <alignment wrapText="1"/>
    </xf>
    <xf numFmtId="1" fontId="0" fillId="0" borderId="0" xfId="25" applyNumberFormat="1" applyFont="1"/>
    <xf numFmtId="1" fontId="0" fillId="0" borderId="0" xfId="25" applyNumberFormat="1" applyFont="1" applyBorder="1"/>
    <xf numFmtId="9" fontId="0" fillId="0" borderId="0" xfId="1" applyFont="1"/>
    <xf numFmtId="14" fontId="4" fillId="0" borderId="0" xfId="0" applyNumberFormat="1" applyFont="1" applyAlignment="1">
      <alignment wrapText="1"/>
    </xf>
    <xf numFmtId="1" fontId="0" fillId="0" borderId="0" xfId="25" applyNumberFormat="1" applyFont="1" applyFill="1" applyBorder="1"/>
    <xf numFmtId="0" fontId="0" fillId="0" borderId="0" xfId="0" quotePrefix="1" applyBorder="1"/>
    <xf numFmtId="16" fontId="0" fillId="0" borderId="0" xfId="0" applyNumberFormat="1" applyBorder="1" applyAlignment="1"/>
    <xf numFmtId="0" fontId="4" fillId="0" borderId="0" xfId="0" applyFont="1" applyFill="1" applyAlignment="1">
      <alignment wrapText="1"/>
    </xf>
    <xf numFmtId="0" fontId="0" fillId="0" borderId="0" xfId="0" applyNumberFormat="1"/>
    <xf numFmtId="165" fontId="4" fillId="0" borderId="0" xfId="0" applyNumberFormat="1" applyFont="1" applyAlignment="1">
      <alignment wrapText="1"/>
    </xf>
    <xf numFmtId="165" fontId="0" fillId="0" borderId="0" xfId="0" applyNumberFormat="1"/>
    <xf numFmtId="0" fontId="0" fillId="0" borderId="0" xfId="0" applyAlignment="1">
      <alignment horizontal="left"/>
    </xf>
    <xf numFmtId="1" fontId="0" fillId="0" borderId="0" xfId="0" applyNumberFormat="1"/>
    <xf numFmtId="165" fontId="0" fillId="0" borderId="0" xfId="0" applyNumberFormat="1" applyAlignment="1">
      <alignment horizontal="center"/>
    </xf>
    <xf numFmtId="165" fontId="0" fillId="0" borderId="0" xfId="0" applyNumberFormat="1" applyBorder="1"/>
    <xf numFmtId="10" fontId="0" fillId="0" borderId="0" xfId="0" applyNumberFormat="1"/>
    <xf numFmtId="0" fontId="9" fillId="0" borderId="0" xfId="0" applyFont="1" applyAlignment="1"/>
    <xf numFmtId="0" fontId="0" fillId="0" borderId="0" xfId="0" applyAlignment="1">
      <alignment wrapText="1"/>
    </xf>
    <xf numFmtId="0" fontId="0" fillId="0" borderId="0" xfId="0" pivotButton="1" applyAlignment="1">
      <alignment wrapText="1"/>
    </xf>
    <xf numFmtId="0" fontId="0" fillId="0" borderId="0" xfId="0" applyAlignment="1">
      <alignment horizontal="left" indent="1"/>
    </xf>
    <xf numFmtId="0" fontId="11" fillId="0" borderId="0" xfId="160" applyFont="1" applyAlignment="1">
      <alignment wrapText="1"/>
    </xf>
    <xf numFmtId="0" fontId="11" fillId="0" borderId="0" xfId="160" applyAlignment="1">
      <alignment wrapText="1"/>
    </xf>
    <xf numFmtId="164" fontId="11" fillId="0" borderId="0" xfId="160" applyNumberFormat="1" applyFont="1" applyAlignment="1">
      <alignment wrapText="1"/>
    </xf>
    <xf numFmtId="0" fontId="12" fillId="0" borderId="0" xfId="160" applyFont="1" applyAlignment="1">
      <alignment wrapText="1"/>
    </xf>
    <xf numFmtId="164" fontId="12" fillId="0" borderId="0" xfId="160" applyNumberFormat="1" applyFont="1" applyAlignment="1">
      <alignment wrapText="1"/>
    </xf>
    <xf numFmtId="49" fontId="4" fillId="0" borderId="0" xfId="0" applyNumberFormat="1" applyFont="1"/>
    <xf numFmtId="164" fontId="4" fillId="0" borderId="0" xfId="0" applyNumberFormat="1" applyFont="1"/>
    <xf numFmtId="0" fontId="14" fillId="0" borderId="0" xfId="0" pivotButton="1" applyFont="1" applyAlignment="1"/>
    <xf numFmtId="9" fontId="0" fillId="0" borderId="0" xfId="0" applyNumberFormat="1"/>
    <xf numFmtId="9" fontId="13" fillId="0" borderId="0" xfId="0" applyNumberFormat="1" applyFont="1"/>
    <xf numFmtId="0" fontId="0" fillId="0" borderId="0" xfId="1" applyNumberFormat="1" applyFont="1"/>
    <xf numFmtId="0" fontId="0" fillId="0" borderId="0" xfId="1" applyNumberFormat="1" applyFont="1" applyBorder="1"/>
    <xf numFmtId="0" fontId="12" fillId="0" borderId="0" xfId="0" applyNumberFormat="1" applyFont="1" applyFill="1" applyBorder="1" applyAlignment="1" applyProtection="1">
      <alignment horizontal="center" wrapText="1"/>
    </xf>
    <xf numFmtId="0" fontId="15" fillId="0" borderId="0" xfId="0" applyFont="1"/>
    <xf numFmtId="0" fontId="11" fillId="0" borderId="0" xfId="160" applyFont="1" applyFill="1" applyAlignment="1">
      <alignment wrapText="1"/>
    </xf>
    <xf numFmtId="0" fontId="17" fillId="0" borderId="0" xfId="0" applyFont="1" applyAlignment="1">
      <alignment wrapText="1"/>
    </xf>
    <xf numFmtId="0" fontId="17" fillId="0" borderId="0" xfId="0" applyFont="1"/>
    <xf numFmtId="0" fontId="17" fillId="0" borderId="0" xfId="0" applyFont="1" applyAlignment="1">
      <alignment horizontal="left"/>
    </xf>
    <xf numFmtId="0" fontId="17" fillId="0" borderId="0" xfId="0" applyNumberFormat="1" applyFont="1"/>
    <xf numFmtId="164" fontId="17" fillId="0" borderId="0" xfId="0" applyNumberFormat="1" applyFont="1"/>
    <xf numFmtId="1" fontId="17" fillId="0" borderId="0" xfId="0" applyNumberFormat="1" applyFont="1"/>
    <xf numFmtId="0" fontId="17" fillId="0" borderId="0" xfId="0" applyFont="1" applyAlignment="1">
      <alignment horizontal="left" indent="1"/>
    </xf>
    <xf numFmtId="0" fontId="16" fillId="0" borderId="0" xfId="0" pivotButton="1" applyFont="1" applyAlignment="1"/>
    <xf numFmtId="0" fontId="17" fillId="0" borderId="0" xfId="0" pivotButton="1" applyFont="1" applyAlignment="1">
      <alignment wrapText="1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pivotButton="1" applyFont="1" applyAlignment="1">
      <alignment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NumberFormat="1" applyFont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1" fontId="17" fillId="0" borderId="0" xfId="0" applyNumberFormat="1" applyFont="1" applyAlignment="1">
      <alignment horizontal="center" vertical="center"/>
    </xf>
    <xf numFmtId="9" fontId="17" fillId="0" borderId="0" xfId="0" applyNumberFormat="1" applyFont="1" applyAlignment="1">
      <alignment horizontal="center" vertical="center"/>
    </xf>
    <xf numFmtId="10" fontId="17" fillId="0" borderId="0" xfId="0" applyNumberFormat="1" applyFont="1" applyAlignment="1">
      <alignment horizontal="center" vertical="center"/>
    </xf>
    <xf numFmtId="0" fontId="17" fillId="0" borderId="0" xfId="0" pivotButton="1" applyFont="1" applyAlignment="1">
      <alignment horizontal="center" vertical="center" wrapText="1"/>
    </xf>
    <xf numFmtId="0" fontId="11" fillId="0" borderId="0" xfId="160" applyFill="1" applyAlignment="1">
      <alignment wrapText="1"/>
    </xf>
    <xf numFmtId="49" fontId="4" fillId="0" borderId="0" xfId="0" applyNumberFormat="1" applyFont="1" applyFill="1"/>
    <xf numFmtId="164" fontId="4" fillId="0" borderId="0" xfId="0" applyNumberFormat="1" applyFont="1" applyFill="1"/>
    <xf numFmtId="4" fontId="21" fillId="0" borderId="0" xfId="160" applyNumberFormat="1" applyFont="1" applyFill="1" applyAlignment="1">
      <alignment wrapText="1"/>
    </xf>
    <xf numFmtId="44" fontId="21" fillId="0" borderId="0" xfId="173" applyFont="1" applyFill="1" applyAlignment="1">
      <alignment wrapText="1"/>
    </xf>
    <xf numFmtId="4" fontId="19" fillId="0" borderId="0" xfId="160" applyNumberFormat="1" applyFont="1" applyFill="1" applyAlignment="1">
      <alignment wrapText="1"/>
    </xf>
    <xf numFmtId="44" fontId="19" fillId="0" borderId="0" xfId="173" applyFont="1" applyFill="1" applyAlignment="1">
      <alignment wrapText="1"/>
    </xf>
    <xf numFmtId="0" fontId="19" fillId="0" borderId="0" xfId="160" applyFont="1" applyFill="1" applyAlignment="1">
      <alignment wrapText="1"/>
    </xf>
    <xf numFmtId="0" fontId="21" fillId="0" borderId="0" xfId="160" applyFont="1" applyFill="1" applyAlignment="1">
      <alignment wrapText="1"/>
    </xf>
    <xf numFmtId="164" fontId="21" fillId="0" borderId="0" xfId="160" applyNumberFormat="1" applyFont="1" applyFill="1" applyAlignment="1">
      <alignment horizontal="right" wrapText="1"/>
    </xf>
    <xf numFmtId="10" fontId="19" fillId="0" borderId="0" xfId="160" applyNumberFormat="1" applyFont="1" applyFill="1" applyAlignment="1">
      <alignment wrapText="1"/>
    </xf>
    <xf numFmtId="10" fontId="21" fillId="0" borderId="0" xfId="160" applyNumberFormat="1" applyFont="1" applyFill="1" applyAlignment="1">
      <alignment wrapText="1"/>
    </xf>
    <xf numFmtId="164" fontId="21" fillId="0" borderId="0" xfId="160" applyNumberFormat="1" applyFont="1" applyFill="1" applyAlignment="1">
      <alignment horizontal="left" wrapText="1"/>
    </xf>
    <xf numFmtId="165" fontId="21" fillId="0" borderId="0" xfId="160" applyNumberFormat="1" applyFont="1" applyFill="1" applyAlignment="1">
      <alignment wrapText="1"/>
    </xf>
    <xf numFmtId="165" fontId="21" fillId="0" borderId="0" xfId="160" applyNumberFormat="1" applyFont="1" applyFill="1" applyAlignment="1">
      <alignment horizontal="right" wrapText="1"/>
    </xf>
    <xf numFmtId="0" fontId="21" fillId="0" borderId="0" xfId="160" applyFont="1" applyFill="1" applyAlignment="1">
      <alignment horizontal="right" wrapText="1"/>
    </xf>
    <xf numFmtId="165" fontId="19" fillId="0" borderId="0" xfId="160" applyNumberFormat="1" applyFont="1" applyFill="1" applyAlignment="1">
      <alignment wrapText="1"/>
    </xf>
    <xf numFmtId="0" fontId="22" fillId="3" borderId="0" xfId="160" applyFont="1" applyFill="1" applyAlignment="1">
      <alignment horizontal="center" vertical="center" wrapText="1"/>
    </xf>
    <xf numFmtId="0" fontId="20" fillId="3" borderId="5" xfId="160" applyFont="1" applyFill="1" applyBorder="1" applyAlignment="1">
      <alignment horizontal="center" vertical="center" wrapText="1"/>
    </xf>
    <xf numFmtId="0" fontId="20" fillId="3" borderId="6" xfId="160" applyFont="1" applyFill="1" applyBorder="1" applyAlignment="1">
      <alignment horizontal="center" vertical="center" wrapText="1"/>
    </xf>
    <xf numFmtId="0" fontId="20" fillId="3" borderId="7" xfId="160" applyFont="1" applyFill="1" applyBorder="1" applyAlignment="1">
      <alignment horizontal="center" vertical="center" wrapText="1"/>
    </xf>
    <xf numFmtId="164" fontId="20" fillId="4" borderId="4" xfId="160" applyNumberFormat="1" applyFont="1" applyFill="1" applyBorder="1" applyAlignment="1">
      <alignment horizontal="left" vertical="center" wrapText="1"/>
    </xf>
    <xf numFmtId="0" fontId="20" fillId="4" borderId="0" xfId="160" applyFont="1" applyFill="1" applyAlignment="1">
      <alignment vertical="center" wrapText="1"/>
    </xf>
    <xf numFmtId="44" fontId="20" fillId="4" borderId="0" xfId="173" applyFont="1" applyFill="1" applyAlignment="1">
      <alignment horizontal="left" vertical="center" wrapText="1"/>
    </xf>
    <xf numFmtId="10" fontId="20" fillId="4" borderId="2" xfId="160" applyNumberFormat="1" applyFont="1" applyFill="1" applyBorder="1" applyAlignment="1">
      <alignment horizontal="center" vertical="center" wrapText="1"/>
    </xf>
    <xf numFmtId="44" fontId="21" fillId="0" borderId="2" xfId="173" applyFont="1" applyFill="1" applyBorder="1" applyAlignment="1">
      <alignment horizontal="left" vertical="center" wrapText="1"/>
    </xf>
    <xf numFmtId="44" fontId="21" fillId="0" borderId="0" xfId="173" applyFont="1" applyFill="1" applyAlignment="1">
      <alignment horizontal="left" vertical="center" wrapText="1"/>
    </xf>
    <xf numFmtId="164" fontId="20" fillId="4" borderId="2" xfId="160" applyNumberFormat="1" applyFont="1" applyFill="1" applyBorder="1" applyAlignment="1">
      <alignment horizontal="left" vertical="center" wrapText="1"/>
    </xf>
    <xf numFmtId="164" fontId="20" fillId="4" borderId="3" xfId="160" applyNumberFormat="1" applyFont="1" applyFill="1" applyBorder="1" applyAlignment="1">
      <alignment horizontal="left" vertical="center" wrapText="1"/>
    </xf>
    <xf numFmtId="0" fontId="20" fillId="4" borderId="1" xfId="160" applyFont="1" applyFill="1" applyBorder="1" applyAlignment="1">
      <alignment vertical="center" wrapText="1"/>
    </xf>
    <xf numFmtId="44" fontId="20" fillId="4" borderId="1" xfId="173" applyFont="1" applyFill="1" applyBorder="1" applyAlignment="1">
      <alignment horizontal="left" vertical="center" wrapText="1"/>
    </xf>
    <xf numFmtId="10" fontId="20" fillId="4" borderId="3" xfId="160" applyNumberFormat="1" applyFont="1" applyFill="1" applyBorder="1" applyAlignment="1">
      <alignment horizontal="center" vertical="center" wrapText="1"/>
    </xf>
    <xf numFmtId="44" fontId="21" fillId="0" borderId="3" xfId="173" applyFont="1" applyFill="1" applyBorder="1" applyAlignment="1">
      <alignment horizontal="left" vertical="center" wrapText="1"/>
    </xf>
    <xf numFmtId="44" fontId="21" fillId="0" borderId="1" xfId="173" applyFont="1" applyFill="1" applyBorder="1" applyAlignment="1">
      <alignment horizontal="left" vertical="center" wrapText="1"/>
    </xf>
    <xf numFmtId="44" fontId="19" fillId="0" borderId="4" xfId="173" applyFont="1" applyFill="1" applyBorder="1" applyAlignment="1">
      <alignment horizontal="left" vertical="center" wrapText="1"/>
    </xf>
    <xf numFmtId="44" fontId="19" fillId="0" borderId="0" xfId="173" applyFont="1" applyFill="1" applyAlignment="1">
      <alignment horizontal="left" vertical="center" wrapText="1"/>
    </xf>
    <xf numFmtId="0" fontId="19" fillId="0" borderId="0" xfId="160" applyFont="1" applyFill="1" applyAlignment="1">
      <alignment vertical="center" wrapText="1"/>
    </xf>
    <xf numFmtId="0" fontId="21" fillId="0" borderId="8" xfId="160" applyFont="1" applyFill="1" applyBorder="1" applyAlignment="1">
      <alignment horizontal="left" vertical="center" wrapText="1"/>
    </xf>
    <xf numFmtId="0" fontId="21" fillId="0" borderId="0" xfId="160" applyFont="1" applyFill="1" applyAlignment="1">
      <alignment horizontal="left" vertical="center" wrapText="1"/>
    </xf>
    <xf numFmtId="164" fontId="21" fillId="0" borderId="0" xfId="160" applyNumberFormat="1" applyFont="1" applyFill="1" applyAlignment="1">
      <alignment horizontal="right" vertical="center" wrapText="1"/>
    </xf>
    <xf numFmtId="0" fontId="21" fillId="0" borderId="0" xfId="160" applyFont="1" applyFill="1" applyAlignment="1">
      <alignment vertical="center" wrapText="1"/>
    </xf>
    <xf numFmtId="44" fontId="21" fillId="0" borderId="0" xfId="173" applyFont="1" applyFill="1" applyAlignment="1">
      <alignment vertical="center" wrapText="1"/>
    </xf>
    <xf numFmtId="10" fontId="19" fillId="0" borderId="0" xfId="160" applyNumberFormat="1" applyFont="1" applyFill="1" applyAlignment="1">
      <alignment vertical="center" wrapText="1"/>
    </xf>
    <xf numFmtId="0" fontId="19" fillId="0" borderId="8" xfId="160" applyFont="1" applyFill="1" applyBorder="1" applyAlignment="1">
      <alignment horizontal="left" vertical="center" wrapText="1"/>
    </xf>
    <xf numFmtId="0" fontId="19" fillId="0" borderId="0" xfId="160" applyFont="1" applyFill="1" applyAlignment="1">
      <alignment horizontal="left" vertical="center" wrapText="1"/>
    </xf>
    <xf numFmtId="4" fontId="21" fillId="0" borderId="8" xfId="160" applyNumberFormat="1" applyFont="1" applyFill="1" applyBorder="1" applyAlignment="1">
      <alignment horizontal="center" vertical="center" wrapText="1"/>
    </xf>
    <xf numFmtId="4" fontId="21" fillId="0" borderId="9" xfId="160" applyNumberFormat="1" applyFont="1" applyFill="1" applyBorder="1" applyAlignment="1">
      <alignment horizontal="center" vertical="center" wrapText="1"/>
    </xf>
    <xf numFmtId="4" fontId="19" fillId="0" borderId="10" xfId="160" applyNumberFormat="1" applyFont="1" applyFill="1" applyBorder="1" applyAlignment="1">
      <alignment horizontal="center" vertical="center" wrapText="1"/>
    </xf>
    <xf numFmtId="4" fontId="21" fillId="0" borderId="0" xfId="160" applyNumberFormat="1" applyFont="1" applyFill="1" applyAlignment="1">
      <alignment horizontal="center" vertical="center" wrapText="1"/>
    </xf>
    <xf numFmtId="4" fontId="21" fillId="0" borderId="1" xfId="160" applyNumberFormat="1" applyFont="1" applyFill="1" applyBorder="1" applyAlignment="1">
      <alignment horizontal="center" vertical="center" wrapText="1"/>
    </xf>
    <xf numFmtId="4" fontId="19" fillId="0" borderId="0" xfId="160" applyNumberFormat="1" applyFont="1" applyFill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7" fillId="0" borderId="0" xfId="0" applyFont="1"/>
    <xf numFmtId="0" fontId="19" fillId="0" borderId="11" xfId="160" applyFont="1" applyFill="1" applyBorder="1" applyAlignment="1">
      <alignment horizontal="right" vertical="center" wrapText="1"/>
    </xf>
    <xf numFmtId="0" fontId="19" fillId="0" borderId="4" xfId="160" applyFont="1" applyFill="1" applyBorder="1" applyAlignment="1">
      <alignment horizontal="right" vertical="center" wrapText="1"/>
    </xf>
    <xf numFmtId="0" fontId="21" fillId="0" borderId="0" xfId="160" applyFont="1" applyFill="1" applyAlignment="1">
      <alignment horizontal="center" vertical="center" wrapText="1"/>
    </xf>
    <xf numFmtId="0" fontId="21" fillId="0" borderId="0" xfId="160" applyFont="1" applyFill="1" applyAlignment="1">
      <alignment horizontal="center" wrapText="1"/>
    </xf>
    <xf numFmtId="0" fontId="19" fillId="0" borderId="0" xfId="160" applyFont="1" applyFill="1" applyAlignment="1">
      <alignment wrapText="1"/>
    </xf>
    <xf numFmtId="0" fontId="19" fillId="0" borderId="0" xfId="160" applyFont="1" applyFill="1" applyAlignment="1">
      <alignment horizontal="right" wrapText="1"/>
    </xf>
    <xf numFmtId="0" fontId="20" fillId="3" borderId="8" xfId="160" applyFont="1" applyFill="1" applyBorder="1" applyAlignment="1">
      <alignment horizontal="center" wrapText="1"/>
    </xf>
    <xf numFmtId="0" fontId="20" fillId="3" borderId="2" xfId="160" applyFont="1" applyFill="1" applyBorder="1" applyAlignment="1">
      <alignment horizontal="center" wrapText="1"/>
    </xf>
    <xf numFmtId="0" fontId="20" fillId="3" borderId="0" xfId="160" applyFont="1" applyFill="1" applyAlignment="1">
      <alignment horizontal="center" wrapText="1"/>
    </xf>
    <xf numFmtId="165" fontId="19" fillId="0" borderId="9" xfId="160" applyNumberFormat="1" applyFont="1" applyFill="1" applyBorder="1" applyAlignment="1">
      <alignment horizontal="center" wrapText="1"/>
    </xf>
    <xf numFmtId="0" fontId="19" fillId="0" borderId="3" xfId="160" applyFont="1" applyFill="1" applyBorder="1" applyAlignment="1">
      <alignment horizontal="center" wrapText="1"/>
    </xf>
    <xf numFmtId="165" fontId="19" fillId="0" borderId="0" xfId="160" applyNumberFormat="1" applyFont="1" applyFill="1" applyAlignment="1">
      <alignment horizontal="center" wrapText="1"/>
    </xf>
    <xf numFmtId="0" fontId="19" fillId="0" borderId="0" xfId="160" applyFont="1" applyFill="1" applyAlignment="1">
      <alignment horizontal="center" wrapText="1"/>
    </xf>
    <xf numFmtId="0" fontId="22" fillId="3" borderId="0" xfId="160" applyFont="1" applyFill="1" applyAlignment="1">
      <alignment horizontal="center" wrapText="1"/>
    </xf>
  </cellXfs>
  <cellStyles count="204">
    <cellStyle name="Comma" xfId="25" builtinId="3"/>
    <cellStyle name="Currency" xfId="173" builtinId="4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Followed Hyperlink" xfId="82" builtinId="9" hidden="1"/>
    <cellStyle name="Followed Hyperlink" xfId="83" builtinId="9" hidden="1"/>
    <cellStyle name="Followed Hyperlink" xfId="84" builtinId="9" hidden="1"/>
    <cellStyle name="Followed Hyperlink" xfId="85" builtinId="9" hidden="1"/>
    <cellStyle name="Followed Hyperlink" xfId="86" builtinId="9" hidden="1"/>
    <cellStyle name="Followed Hyperlink" xfId="87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0" builtinId="9" hidden="1"/>
    <cellStyle name="Followed Hyperlink" xfId="111" builtinId="9" hidden="1"/>
    <cellStyle name="Followed Hyperlink" xfId="112" builtinId="9" hidden="1"/>
    <cellStyle name="Followed Hyperlink" xfId="113" builtinId="9" hidden="1"/>
    <cellStyle name="Followed Hyperlink" xfId="114" builtinId="9" hidden="1"/>
    <cellStyle name="Followed Hyperlink" xfId="115" builtinId="9" hidden="1"/>
    <cellStyle name="Followed Hyperlink" xfId="116" builtinId="9" hidden="1"/>
    <cellStyle name="Followed Hyperlink" xfId="117" builtinId="9" hidden="1"/>
    <cellStyle name="Followed Hyperlink" xfId="118" builtinId="9" hidden="1"/>
    <cellStyle name="Followed Hyperlink" xfId="119" builtinId="9" hidden="1"/>
    <cellStyle name="Followed Hyperlink" xfId="120" builtinId="9" hidden="1"/>
    <cellStyle name="Followed Hyperlink" xfId="121" builtinId="9" hidden="1"/>
    <cellStyle name="Followed Hyperlink" xfId="122" builtinId="9" hidden="1"/>
    <cellStyle name="Followed Hyperlink" xfId="123" builtinId="9" hidden="1"/>
    <cellStyle name="Followed Hyperlink" xfId="124" builtinId="9" hidden="1"/>
    <cellStyle name="Followed Hyperlink" xfId="125" builtinId="9" hidden="1"/>
    <cellStyle name="Followed Hyperlink" xfId="126" builtinId="9" hidden="1"/>
    <cellStyle name="Followed Hyperlink" xfId="127" builtinId="9" hidden="1"/>
    <cellStyle name="Followed Hyperlink" xfId="128" builtinId="9" hidden="1"/>
    <cellStyle name="Followed Hyperlink" xfId="129" builtinId="9" hidden="1"/>
    <cellStyle name="Followed Hyperlink" xfId="130" builtinId="9" hidden="1"/>
    <cellStyle name="Followed Hyperlink" xfId="131" builtinId="9" hidden="1"/>
    <cellStyle name="Followed Hyperlink" xfId="132" builtinId="9" hidden="1"/>
    <cellStyle name="Followed Hyperlink" xfId="133" builtinId="9" hidden="1"/>
    <cellStyle name="Followed Hyperlink" xfId="134" builtinId="9" hidden="1"/>
    <cellStyle name="Followed Hyperlink" xfId="135" builtinId="9" hidden="1"/>
    <cellStyle name="Followed Hyperlink" xfId="136" builtinId="9" hidden="1"/>
    <cellStyle name="Followed Hyperlink" xfId="137" builtinId="9" hidden="1"/>
    <cellStyle name="Followed Hyperlink" xfId="138" builtinId="9" hidden="1"/>
    <cellStyle name="Followed Hyperlink" xfId="139" builtinId="9" hidden="1"/>
    <cellStyle name="Followed Hyperlink" xfId="140" builtinId="9" hidden="1"/>
    <cellStyle name="Followed Hyperlink" xfId="141" builtinId="9" hidden="1"/>
    <cellStyle name="Followed Hyperlink" xfId="142" builtinId="9" hidden="1"/>
    <cellStyle name="Followed Hyperlink" xfId="143" builtinId="9" hidden="1"/>
    <cellStyle name="Followed Hyperlink" xfId="144" builtinId="9" hidden="1"/>
    <cellStyle name="Followed Hyperlink" xfId="145" builtinId="9" hidden="1"/>
    <cellStyle name="Followed Hyperlink" xfId="146" builtinId="9" hidden="1"/>
    <cellStyle name="Followed Hyperlink" xfId="147" builtinId="9" hidden="1"/>
    <cellStyle name="Followed Hyperlink" xfId="148" builtinId="9" hidden="1"/>
    <cellStyle name="Followed Hyperlink" xfId="149" builtinId="9" hidden="1"/>
    <cellStyle name="Followed Hyperlink" xfId="150" builtinId="9" hidden="1"/>
    <cellStyle name="Followed Hyperlink" xfId="151" builtinId="9" hidden="1"/>
    <cellStyle name="Followed Hyperlink" xfId="152" builtinId="9" hidden="1"/>
    <cellStyle name="Followed Hyperlink" xfId="153" builtinId="9" hidden="1"/>
    <cellStyle name="Followed Hyperlink" xfId="154" builtinId="9" hidden="1"/>
    <cellStyle name="Followed Hyperlink" xfId="155" builtinId="9" hidden="1"/>
    <cellStyle name="Followed Hyperlink" xfId="156" builtinId="9" hidden="1"/>
    <cellStyle name="Followed Hyperlink" xfId="157" builtinId="9" hidden="1"/>
    <cellStyle name="Followed Hyperlink" xfId="158" builtinId="9" hidden="1"/>
    <cellStyle name="Followed Hyperlink" xfId="159" builtinId="9" hidden="1"/>
    <cellStyle name="Followed Hyperlink" xfId="161" builtinId="9" hidden="1"/>
    <cellStyle name="Followed Hyperlink" xfId="162" builtinId="9" hidden="1"/>
    <cellStyle name="Followed Hyperlink" xfId="163" builtinId="9" hidden="1"/>
    <cellStyle name="Followed Hyperlink" xfId="164" builtinId="9" hidden="1"/>
    <cellStyle name="Followed Hyperlink" xfId="165" builtinId="9" hidden="1"/>
    <cellStyle name="Followed Hyperlink" xfId="166" builtinId="9" hidden="1"/>
    <cellStyle name="Followed Hyperlink" xfId="167" builtinId="9" hidden="1"/>
    <cellStyle name="Followed Hyperlink" xfId="168" builtinId="9" hidden="1"/>
    <cellStyle name="Followed Hyperlink" xfId="169" builtinId="9" hidden="1"/>
    <cellStyle name="Followed Hyperlink" xfId="170" builtinId="9" hidden="1"/>
    <cellStyle name="Followed Hyperlink" xfId="171" builtinId="9" hidden="1"/>
    <cellStyle name="Followed Hyperlink" xfId="172" builtinId="9" hidden="1"/>
    <cellStyle name="Followed Hyperlink" xfId="174" builtinId="9" hidden="1"/>
    <cellStyle name="Followed Hyperlink" xfId="175" builtinId="9" hidden="1"/>
    <cellStyle name="Followed Hyperlink" xfId="176" builtinId="9" hidden="1"/>
    <cellStyle name="Followed Hyperlink" xfId="177" builtinId="9" hidden="1"/>
    <cellStyle name="Followed Hyperlink" xfId="178" builtinId="9" hidden="1"/>
    <cellStyle name="Followed Hyperlink" xfId="179" builtinId="9" hidden="1"/>
    <cellStyle name="Followed Hyperlink" xfId="180" builtinId="9" hidden="1"/>
    <cellStyle name="Followed Hyperlink" xfId="181" builtinId="9" hidden="1"/>
    <cellStyle name="Followed Hyperlink" xfId="182" builtinId="9" hidden="1"/>
    <cellStyle name="Followed Hyperlink" xfId="183" builtinId="9" hidden="1"/>
    <cellStyle name="Followed Hyperlink" xfId="184" builtinId="9" hidden="1"/>
    <cellStyle name="Followed Hyperlink" xfId="185" builtinId="9" hidden="1"/>
    <cellStyle name="Followed Hyperlink" xfId="186" builtinId="9" hidden="1"/>
    <cellStyle name="Followed Hyperlink" xfId="187" builtinId="9" hidden="1"/>
    <cellStyle name="Followed Hyperlink" xfId="188" builtinId="9" hidden="1"/>
    <cellStyle name="Followed Hyperlink" xfId="189" builtinId="9" hidden="1"/>
    <cellStyle name="Followed Hyperlink" xfId="190" builtinId="9" hidden="1"/>
    <cellStyle name="Followed Hyperlink" xfId="191" builtinId="9" hidden="1"/>
    <cellStyle name="Followed Hyperlink" xfId="192" builtinId="9" hidden="1"/>
    <cellStyle name="Followed Hyperlink" xfId="193" builtinId="9" hidden="1"/>
    <cellStyle name="Followed Hyperlink" xfId="194" builtinId="9" hidden="1"/>
    <cellStyle name="Followed Hyperlink" xfId="195" builtinId="9" hidden="1"/>
    <cellStyle name="Followed Hyperlink" xfId="196" builtinId="9" hidden="1"/>
    <cellStyle name="Followed Hyperlink" xfId="197" builtinId="9" hidden="1"/>
    <cellStyle name="Followed Hyperlink" xfId="198" builtinId="9" hidden="1"/>
    <cellStyle name="Followed Hyperlink" xfId="199" builtinId="9" hidden="1"/>
    <cellStyle name="Followed Hyperlink" xfId="200" builtinId="9" hidden="1"/>
    <cellStyle name="Followed Hyperlink" xfId="201" builtinId="9" hidden="1"/>
    <cellStyle name="Followed Hyperlink" xfId="202" builtinId="9" hidden="1"/>
    <cellStyle name="Followed Hyperlink" xfId="203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/>
    <cellStyle name="Normal" xfId="0" builtinId="0"/>
    <cellStyle name="Normal 2" xfId="160"/>
    <cellStyle name="Percent" xfId="1" builtinId="5"/>
  </cellStyles>
  <dxfs count="209">
    <dxf>
      <alignment horizontal="center" readingOrder="0"/>
    </dxf>
    <dxf>
      <font>
        <sz val="14"/>
      </font>
    </dxf>
    <dxf>
      <alignment vertical="center"/>
    </dxf>
    <dxf>
      <alignment wrapText="1"/>
    </dxf>
    <dxf>
      <alignment horizontal="center"/>
    </dxf>
    <dxf>
      <font>
        <color theme="0" tint="-0.499984740745262"/>
      </font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font>
        <color theme="0"/>
      </font>
    </dxf>
    <dxf>
      <font>
        <color theme="0"/>
      </font>
    </dxf>
    <dxf>
      <numFmt numFmtId="13" formatCode="0%"/>
    </dxf>
    <dxf>
      <numFmt numFmtId="164" formatCode="&quot;$&quot;#,##0"/>
    </dxf>
    <dxf>
      <numFmt numFmtId="164" formatCode="&quot;$&quot;#,##0"/>
    </dxf>
    <dxf>
      <numFmt numFmtId="1" formatCode="0"/>
    </dxf>
    <dxf>
      <numFmt numFmtId="164" formatCode="&quot;$&quot;#,##0"/>
    </dxf>
    <dxf>
      <alignment wrapText="0" readingOrder="0"/>
    </dxf>
    <dxf>
      <alignment wrapText="1"/>
    </dxf>
    <dxf>
      <font>
        <sz val="14"/>
      </font>
    </dxf>
    <dxf>
      <font>
        <sz val="14"/>
      </font>
    </dxf>
    <dxf>
      <font>
        <sz val="14"/>
      </font>
    </dxf>
    <dxf>
      <font>
        <sz val="14"/>
      </font>
    </dxf>
    <dxf>
      <font>
        <sz val="14"/>
      </font>
    </dxf>
    <dxf>
      <font>
        <sz val="14"/>
      </font>
    </dxf>
    <dxf>
      <font>
        <color theme="0" tint="-0.499984740745262"/>
      </font>
    </dxf>
    <dxf>
      <alignment wrapText="1" readingOrder="0"/>
    </dxf>
    <dxf>
      <alignment wrapText="1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font>
        <color theme="0"/>
      </font>
    </dxf>
    <dxf>
      <font>
        <color theme="0"/>
      </font>
    </dxf>
    <dxf>
      <numFmt numFmtId="13" formatCode="0%"/>
    </dxf>
    <dxf>
      <numFmt numFmtId="164" formatCode="&quot;$&quot;#,##0"/>
    </dxf>
    <dxf>
      <numFmt numFmtId="164" formatCode="&quot;$&quot;#,##0"/>
    </dxf>
    <dxf>
      <numFmt numFmtId="1" formatCode="0"/>
    </dxf>
    <dxf>
      <numFmt numFmtId="164" formatCode="&quot;$&quot;#,##0"/>
    </dxf>
    <dxf>
      <alignment wrapText="0" readingOrder="0"/>
    </dxf>
    <dxf>
      <alignment wrapText="1"/>
    </dxf>
    <dxf>
      <alignment wrapText="1"/>
    </dxf>
    <dxf>
      <alignment wrapText="1" readingOrder="0"/>
    </dxf>
    <dxf>
      <alignment wrapText="1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font>
        <color theme="0"/>
      </font>
    </dxf>
    <dxf>
      <font>
        <color theme="0"/>
      </font>
    </dxf>
    <dxf>
      <numFmt numFmtId="13" formatCode="0%"/>
    </dxf>
    <dxf>
      <numFmt numFmtId="164" formatCode="&quot;$&quot;#,##0"/>
    </dxf>
    <dxf>
      <numFmt numFmtId="164" formatCode="&quot;$&quot;#,##0"/>
    </dxf>
    <dxf>
      <numFmt numFmtId="1" formatCode="0"/>
    </dxf>
    <dxf>
      <font>
        <color theme="4" tint="-0.249977111117893"/>
      </font>
    </dxf>
    <dxf>
      <numFmt numFmtId="164" formatCode="&quot;$&quot;#,##0"/>
    </dxf>
    <dxf>
      <alignment wrapText="0" readingOrder="0"/>
    </dxf>
    <dxf>
      <alignment wrapText="1"/>
    </dxf>
    <dxf>
      <alignment wrapText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&quot;$&quot;#,##0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general" vertical="bottom" textRotation="0" wrapText="1" indent="0" justifyLastLine="0" shrinkToFit="0" readingOrder="0"/>
    </dxf>
    <dxf>
      <alignment wrapText="1" readingOrder="0"/>
    </dxf>
    <dxf>
      <alignment wrapText="1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font>
        <color theme="0"/>
      </font>
    </dxf>
    <dxf>
      <font>
        <color theme="0"/>
      </font>
    </dxf>
    <dxf>
      <numFmt numFmtId="13" formatCode="0%"/>
    </dxf>
    <dxf>
      <numFmt numFmtId="164" formatCode="&quot;$&quot;#,##0"/>
    </dxf>
    <dxf>
      <numFmt numFmtId="164" formatCode="&quot;$&quot;#,##0"/>
    </dxf>
    <dxf>
      <numFmt numFmtId="1" formatCode="0"/>
    </dxf>
    <dxf>
      <font>
        <color theme="4" tint="-0.249977111117893"/>
      </font>
    </dxf>
    <dxf>
      <numFmt numFmtId="164" formatCode="&quot;$&quot;#,##0"/>
    </dxf>
    <dxf>
      <alignment wrapText="0" readingOrder="0"/>
    </dxf>
    <dxf>
      <alignment wrapText="1"/>
    </dxf>
    <dxf>
      <alignment wrapText="1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5" formatCode="&quot;$&quot;#,##0.00"/>
    </dxf>
    <dxf>
      <numFmt numFmtId="164" formatCode="&quot;$&quot;#,##0"/>
    </dxf>
    <dxf>
      <numFmt numFmtId="0" formatCode="General"/>
    </dxf>
    <dxf>
      <numFmt numFmtId="165" formatCode="&quot;$&quot;#,##0.00"/>
    </dxf>
    <dxf>
      <numFmt numFmtId="0" formatCode="General"/>
    </dxf>
    <dxf>
      <numFmt numFmtId="0" formatCode="General"/>
    </dxf>
    <dxf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scheme val="minor"/>
      </font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scheme val="minor"/>
      </font>
    </dxf>
    <dxf>
      <font>
        <color rgb="FF000000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scheme val="minor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scheme val="minor"/>
      </font>
      <numFmt numFmtId="164" formatCode="&quot;$&quot;#,##0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4" formatCode="&quot;$&quot;#,##0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4" formatCode="&quot;$&quot;#,##0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64" formatCode="&quot;$&quot;#,##0"/>
      <alignment horizontal="general" vertical="bottom" textRotation="0" wrapText="0" indent="0" justifyLastLine="0" shrinkToFit="0" readingOrder="0"/>
    </dxf>
    <dxf>
      <numFmt numFmtId="0" formatCode="General"/>
    </dxf>
    <dxf>
      <numFmt numFmtId="1" formatCode="0"/>
    </dxf>
    <dxf>
      <numFmt numFmtId="1" formatCode="0"/>
    </dxf>
    <dxf>
      <numFmt numFmtId="1" formatCode="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9" formatCode="m/d/yy"/>
    </dxf>
    <dxf>
      <numFmt numFmtId="19" formatCode="m/d/yy"/>
    </dxf>
    <dxf>
      <numFmt numFmtId="0" formatCode="General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numFmt numFmtId="19" formatCode="m/d/yy"/>
    </dxf>
    <dxf>
      <numFmt numFmtId="30" formatCode="@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&quot;$&quot;#,##0"/>
      <alignment horizontal="general" vertical="bottom" textRotation="0" wrapText="1" indent="0" justifyLastLine="0" shrinkToFit="0" readingOrder="0"/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Relationship Id="rId14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pivotCacheDefinition" Target="pivotCache/pivotCacheDefinition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7"/>
    </mc:Choice>
    <mc:Fallback>
      <c:style val="17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Pledge Category Distribution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'pledge category chart'!$A$4:$A$7</c:f>
              <c:strCache>
                <c:ptCount val="4"/>
                <c:pt idx="0">
                  <c:v>A - Less than $1,000 Raised</c:v>
                </c:pt>
                <c:pt idx="1">
                  <c:v>B - $1,000 to $9,999 Raised</c:v>
                </c:pt>
                <c:pt idx="2">
                  <c:v>C - $10,000 to $19,999 Raised</c:v>
                </c:pt>
                <c:pt idx="3">
                  <c:v>D - $20,000 to $99,999 Raised</c:v>
                </c:pt>
              </c:strCache>
            </c:strRef>
          </c:cat>
          <c:val>
            <c:numRef>
              <c:f>'pledge category chart'!$B$4:$B$7</c:f>
              <c:numCache>
                <c:formatCode>General</c:formatCode>
                <c:ptCount val="4"/>
                <c:pt idx="0">
                  <c:v>13.0</c:v>
                </c:pt>
                <c:pt idx="1">
                  <c:v>70.0</c:v>
                </c:pt>
                <c:pt idx="2">
                  <c:v>12.0</c:v>
                </c:pt>
                <c:pt idx="3">
                  <c:v>5.0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8</xdr:row>
      <xdr:rowOff>25400</xdr:rowOff>
    </xdr:from>
    <xdr:to>
      <xdr:col>8</xdr:col>
      <xdr:colOff>508000</xdr:colOff>
      <xdr:row>37</xdr:row>
      <xdr:rowOff>152400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Luiz Augusto Buff de Souza e Silva" refreshedDate="41348.639503009261" createdVersion="4" refreshedVersion="4" minRefreshableVersion="3" recordCount="102">
  <cacheSource type="worksheet">
    <worksheetSource name="Table1"/>
  </cacheSource>
  <cacheFields count="119">
    <cacheField name="ID" numFmtId="49">
      <sharedItems/>
    </cacheField>
    <cacheField name="Research Date" numFmtId="14">
      <sharedItems containsSemiMixedTypes="0" containsNonDate="0" containsDate="1" containsString="0" minDate="2012-02-23T00:00:00" maxDate="2013-03-03T00:00:00"/>
    </cacheField>
    <cacheField name="Project Title" numFmtId="0">
      <sharedItems/>
    </cacheField>
    <cacheField name="Owner" numFmtId="0">
      <sharedItems/>
    </cacheField>
    <cacheField name="URL" numFmtId="0">
      <sharedItems/>
    </cacheField>
    <cacheField name="Genre" numFmtId="0">
      <sharedItems count="10">
        <s v="Classical Music"/>
        <s v="Rock"/>
        <s v="Hip-Hop"/>
        <s v="Country &amp; Folk"/>
        <s v="Pop"/>
        <s v="Music"/>
        <s v="Indie Rock"/>
        <s v="Electronic Music"/>
        <s v="Jazz"/>
        <s v="World Music"/>
      </sharedItems>
    </cacheField>
    <cacheField name="Location" numFmtId="0">
      <sharedItems/>
    </cacheField>
    <cacheField name="State" numFmtId="0">
      <sharedItems/>
    </cacheField>
    <cacheField name="Launch Date" numFmtId="14">
      <sharedItems containsSemiMixedTypes="0" containsNonDate="0" containsDate="1" containsString="0" minDate="2012-04-30T00:00:00" maxDate="2013-12-16T00:00:00"/>
    </cacheField>
    <cacheField name="End Date" numFmtId="14">
      <sharedItems containsSemiMixedTypes="0" containsNonDate="0" containsDate="1" containsString="0" minDate="2012-05-31T00:00:00" maxDate="2013-02-24T00:00:00"/>
    </cacheField>
    <cacheField name="Pledge" numFmtId="164">
      <sharedItems containsSemiMixedTypes="0" containsString="0" containsNumber="1" containsInteger="1" minValue="60" maxValue="1192793"/>
    </cacheField>
    <cacheField name="Goal" numFmtId="164">
      <sharedItems containsSemiMixedTypes="0" containsString="0" containsNumber="1" containsInteger="1" minValue="50" maxValue="100000"/>
    </cacheField>
    <cacheField name="Backers" numFmtId="1">
      <sharedItems containsSemiMixedTypes="0" containsString="0" containsNumber="1" containsInteger="1" minValue="4" maxValue="24883"/>
    </cacheField>
    <cacheField name="FB Friends" numFmtId="1">
      <sharedItems containsString="0" containsBlank="1" containsNumber="1" containsInteger="1" minValue="96" maxValue="4865"/>
    </cacheField>
    <cacheField name="Reward Level 1" numFmtId="164">
      <sharedItems containsSemiMixedTypes="0" containsString="0" containsNumber="1" containsInteger="1" minValue="1" maxValue="25" count="9">
        <n v="1"/>
        <n v="5"/>
        <n v="10"/>
        <n v="7"/>
        <n v="2"/>
        <n v="25"/>
        <n v="15"/>
        <n v="12"/>
        <n v="20"/>
      </sharedItems>
    </cacheField>
    <cacheField name="Reward Level 2" numFmtId="164">
      <sharedItems containsString="0" containsBlank="1" containsNumber="1" containsInteger="1" minValue="2" maxValue="50"/>
    </cacheField>
    <cacheField name="Reward Level 3" numFmtId="164">
      <sharedItems containsString="0" containsBlank="1" containsNumber="1" containsInteger="1" minValue="3" maxValue="100"/>
    </cacheField>
    <cacheField name="Reward Level 4" numFmtId="164">
      <sharedItems containsString="0" containsBlank="1" containsNumber="1" containsInteger="1" minValue="10" maxValue="500"/>
    </cacheField>
    <cacheField name="Reward Level 5" numFmtId="164">
      <sharedItems containsString="0" containsBlank="1" containsNumber="1" containsInteger="1" minValue="15" maxValue="1000"/>
    </cacheField>
    <cacheField name="Reward Level 6" numFmtId="164">
      <sharedItems containsString="0" containsBlank="1" containsNumber="1" containsInteger="1" minValue="15" maxValue="2000"/>
    </cacheField>
    <cacheField name="Reward Level 7" numFmtId="164">
      <sharedItems containsString="0" containsBlank="1" containsNumber="1" containsInteger="1" minValue="25" maxValue="1000"/>
    </cacheField>
    <cacheField name="Reward Level 8" numFmtId="164">
      <sharedItems containsString="0" containsBlank="1" containsNumber="1" containsInteger="1" minValue="30" maxValue="10000"/>
    </cacheField>
    <cacheField name="Reward Level 9" numFmtId="164">
      <sharedItems containsString="0" containsBlank="1" containsNumber="1" containsInteger="1" minValue="40" maxValue="10000"/>
    </cacheField>
    <cacheField name="Reward Level 10" numFmtId="164">
      <sharedItems containsString="0" containsBlank="1" containsNumber="1" containsInteger="1" minValue="50" maxValue="5000"/>
    </cacheField>
    <cacheField name="Reward Level 11" numFmtId="164">
      <sharedItems containsString="0" containsBlank="1" containsNumber="1" containsInteger="1" minValue="55" maxValue="8000"/>
    </cacheField>
    <cacheField name="Reward Level 12" numFmtId="164">
      <sharedItems containsString="0" containsBlank="1" containsNumber="1" containsInteger="1" minValue="70" maxValue="10000"/>
    </cacheField>
    <cacheField name="Reward Level 13" numFmtId="164">
      <sharedItems containsString="0" containsBlank="1" containsNumber="1" containsInteger="1" minValue="75" maxValue="3500"/>
    </cacheField>
    <cacheField name="Reward Level 14" numFmtId="164">
      <sharedItems containsString="0" containsBlank="1" containsNumber="1" containsInteger="1" minValue="75" maxValue="5000"/>
    </cacheField>
    <cacheField name="Reward Level 15" numFmtId="164">
      <sharedItems containsString="0" containsBlank="1" containsNumber="1" containsInteger="1" minValue="80" maxValue="2750"/>
    </cacheField>
    <cacheField name="Reward Level 16" numFmtId="164">
      <sharedItems containsString="0" containsBlank="1" containsNumber="1" containsInteger="1" minValue="80" maxValue="5500"/>
    </cacheField>
    <cacheField name="Reward Level 17" numFmtId="164">
      <sharedItems containsString="0" containsBlank="1" containsNumber="1" containsInteger="1" minValue="100" maxValue="7500"/>
    </cacheField>
    <cacheField name="Reward Level 18" numFmtId="164">
      <sharedItems containsString="0" containsBlank="1" containsNumber="1" containsInteger="1" minValue="100" maxValue="10000"/>
    </cacheField>
    <cacheField name="Reward Level 19" numFmtId="164">
      <sharedItems containsString="0" containsBlank="1" containsNumber="1" containsInteger="1" minValue="100" maxValue="3000"/>
    </cacheField>
    <cacheField name="Reward Level 20" numFmtId="164">
      <sharedItems containsString="0" containsBlank="1" containsNumber="1" containsInteger="1" minValue="110" maxValue="4500"/>
    </cacheField>
    <cacheField name="Reward Level 21" numFmtId="164">
      <sharedItems containsString="0" containsBlank="1" containsNumber="1" containsInteger="1" minValue="120" maxValue="5500"/>
    </cacheField>
    <cacheField name="Reward Level 22" numFmtId="164">
      <sharedItems containsString="0" containsBlank="1" containsNumber="1" containsInteger="1" minValue="150" maxValue="10000"/>
    </cacheField>
    <cacheField name="Reward Level 23" numFmtId="164">
      <sharedItems containsString="0" containsBlank="1" containsNumber="1" containsInteger="1" minValue="150" maxValue="10000"/>
    </cacheField>
    <cacheField name="Reward Level 24" numFmtId="164">
      <sharedItems containsString="0" containsBlank="1" containsNumber="1" containsInteger="1" minValue="200" maxValue="10000"/>
    </cacheField>
    <cacheField name="Reward Level 25" numFmtId="164">
      <sharedItems containsString="0" containsBlank="1" containsNumber="1" containsInteger="1" minValue="250" maxValue="3000"/>
    </cacheField>
    <cacheField name="Reward Level 26" numFmtId="164">
      <sharedItems containsString="0" containsBlank="1" containsNumber="1" containsInteger="1" minValue="250" maxValue="1500"/>
    </cacheField>
    <cacheField name="Reward Level 27" numFmtId="164">
      <sharedItems containsString="0" containsBlank="1" containsNumber="1" containsInteger="1" minValue="300" maxValue="1500"/>
    </cacheField>
    <cacheField name="Reward Level 28" numFmtId="164">
      <sharedItems containsString="0" containsBlank="1" containsNumber="1" containsInteger="1" minValue="500" maxValue="2500"/>
    </cacheField>
    <cacheField name="Reward Level 29" numFmtId="164">
      <sharedItems containsString="0" containsBlank="1" containsNumber="1" containsInteger="1" minValue="550" maxValue="4000"/>
    </cacheField>
    <cacheField name="Reward Level 30" numFmtId="164">
      <sharedItems containsString="0" containsBlank="1" containsNumber="1" containsInteger="1" minValue="600" maxValue="600"/>
    </cacheField>
    <cacheField name="Reward Level 31" numFmtId="164">
      <sharedItems containsString="0" containsBlank="1" containsNumber="1" containsInteger="1" minValue="650" maxValue="650"/>
    </cacheField>
    <cacheField name="Reward Level 32" numFmtId="164">
      <sharedItems containsString="0" containsBlank="1" containsNumber="1" containsInteger="1" minValue="1000" maxValue="1000"/>
    </cacheField>
    <cacheField name="Reward Level 33" numFmtId="164">
      <sharedItems containsString="0" containsBlank="1" containsNumber="1" containsInteger="1" minValue="1500" maxValue="1500"/>
    </cacheField>
    <cacheField name="Reward Level 34" numFmtId="164">
      <sharedItems containsString="0" containsBlank="1" containsNumber="1" containsInteger="1" minValue="7000" maxValue="7000"/>
    </cacheField>
    <cacheField name="Reward Level 35" numFmtId="164">
      <sharedItems containsString="0" containsBlank="1" containsNumber="1" containsInteger="1" minValue="10000" maxValue="10000"/>
    </cacheField>
    <cacheField name="Reward Level 36" numFmtId="164">
      <sharedItems containsString="0" containsBlank="1" containsNumber="1" containsInteger="1" minValue="10000" maxValue="10000"/>
    </cacheField>
    <cacheField name="Backers Level 1" numFmtId="0">
      <sharedItems containsSemiMixedTypes="0" containsString="0" containsNumber="1" containsInteger="1" minValue="0" maxValue="4744"/>
    </cacheField>
    <cacheField name="Backers Level 2" numFmtId="0">
      <sharedItems containsString="0" containsBlank="1" containsNumber="1" containsInteger="1" minValue="0" maxValue="6536"/>
    </cacheField>
    <cacheField name="Backers Level 3" numFmtId="0">
      <sharedItems containsString="0" containsBlank="1" containsNumber="1" containsInteger="1" minValue="0" maxValue="9333"/>
    </cacheField>
    <cacheField name="Backers Level 4" numFmtId="0">
      <sharedItems containsString="0" containsBlank="1" containsNumber="1" containsInteger="1" minValue="0" maxValue="1347"/>
    </cacheField>
    <cacheField name="Backers Level 5" numFmtId="0">
      <sharedItems containsString="0" containsBlank="1" containsNumber="1" containsInteger="1" minValue="0" maxValue="488"/>
    </cacheField>
    <cacheField name="Backers Level 6" numFmtId="0">
      <sharedItems containsString="0" containsBlank="1" containsNumber="1" containsInteger="1" minValue="0" maxValue="1603"/>
    </cacheField>
    <cacheField name="Backers Level 7" numFmtId="0">
      <sharedItems containsString="0" containsBlank="1" containsNumber="1" containsInteger="1" minValue="0" maxValue="27"/>
    </cacheField>
    <cacheField name="Backers Level 8" numFmtId="0">
      <sharedItems containsString="0" containsBlank="1" containsNumber="1" containsInteger="1" minValue="0" maxValue="96"/>
    </cacheField>
    <cacheField name="Backers Level 9" numFmtId="0">
      <sharedItems containsString="0" containsBlank="1" containsNumber="1" containsInteger="1" minValue="0" maxValue="298"/>
    </cacheField>
    <cacheField name="Backers Level 10" numFmtId="0">
      <sharedItems containsString="0" containsBlank="1" containsNumber="1" containsInteger="1" minValue="0" maxValue="50"/>
    </cacheField>
    <cacheField name="Backers Level 11" numFmtId="0">
      <sharedItems containsString="0" containsBlank="1" containsNumber="1" containsInteger="1" minValue="0" maxValue="88"/>
    </cacheField>
    <cacheField name="Backers Level 12" numFmtId="0">
      <sharedItems containsString="0" containsBlank="1" containsNumber="1" containsInteger="1" minValue="0" maxValue="74"/>
    </cacheField>
    <cacheField name="Backers Level 13" numFmtId="0">
      <sharedItems containsString="0" containsBlank="1" containsNumber="1" containsInteger="1" minValue="0" maxValue="83"/>
    </cacheField>
    <cacheField name="Backers Level 14" numFmtId="0">
      <sharedItems containsString="0" containsBlank="1" containsNumber="1" containsInteger="1" minValue="0" maxValue="46"/>
    </cacheField>
    <cacheField name="Backers Level 15" numFmtId="0">
      <sharedItems containsString="0" containsBlank="1" containsNumber="1" containsInteger="1" minValue="0" maxValue="50"/>
    </cacheField>
    <cacheField name="Backers Level 16" numFmtId="0">
      <sharedItems containsString="0" containsBlank="1" containsNumber="1" containsInteger="1" minValue="0" maxValue="6"/>
    </cacheField>
    <cacheField name="Backers Level 17" numFmtId="0">
      <sharedItems containsString="0" containsBlank="1" containsNumber="1" containsInteger="1" minValue="0" maxValue="38"/>
    </cacheField>
    <cacheField name="Backers Level 18" numFmtId="0">
      <sharedItems containsString="0" containsBlank="1" containsNumber="1" containsInteger="1" minValue="0" maxValue="6"/>
    </cacheField>
    <cacheField name="Backers Level 19" numFmtId="0">
      <sharedItems containsString="0" containsBlank="1" containsNumber="1" containsInteger="1" minValue="0" maxValue="4"/>
    </cacheField>
    <cacheField name="Backers Level 20" numFmtId="0">
      <sharedItems containsString="0" containsBlank="1" containsNumber="1" containsInteger="1" minValue="0" maxValue="28"/>
    </cacheField>
    <cacheField name="Backers Level 21" numFmtId="0">
      <sharedItems containsString="0" containsBlank="1" containsNumber="1" containsInteger="1" minValue="0" maxValue="72"/>
    </cacheField>
    <cacheField name="Backers Level 22" numFmtId="0">
      <sharedItems containsString="0" containsBlank="1" containsNumber="1" containsInteger="1" minValue="0" maxValue="34"/>
    </cacheField>
    <cacheField name="Backers Level 23" numFmtId="0">
      <sharedItems containsString="0" containsBlank="1" containsNumber="1" containsInteger="1" minValue="0" maxValue="2"/>
    </cacheField>
    <cacheField name="Backers Level 24" numFmtId="0">
      <sharedItems containsString="0" containsBlank="1" containsNumber="1" containsInteger="1" minValue="0" maxValue="2"/>
    </cacheField>
    <cacheField name="Backers Level 25" numFmtId="0">
      <sharedItems containsString="0" containsBlank="1" containsNumber="1" containsInteger="1" minValue="0" maxValue="7"/>
    </cacheField>
    <cacheField name="Backers Level 26" numFmtId="0">
      <sharedItems containsString="0" containsBlank="1" containsNumber="1" containsInteger="1" minValue="0" maxValue="1"/>
    </cacheField>
    <cacheField name="Backers Level 27" numFmtId="0">
      <sharedItems containsString="0" containsBlank="1" containsNumber="1" containsInteger="1" minValue="0" maxValue="0"/>
    </cacheField>
    <cacheField name="Backers Level 28" numFmtId="0">
      <sharedItems containsString="0" containsBlank="1" containsNumber="1" containsInteger="1" minValue="0" maxValue="1"/>
    </cacheField>
    <cacheField name="Backers Level 29" numFmtId="0">
      <sharedItems containsString="0" containsBlank="1" containsNumber="1" containsInteger="1" minValue="0" maxValue="1"/>
    </cacheField>
    <cacheField name="Backers Level 30" numFmtId="0">
      <sharedItems containsString="0" containsBlank="1" containsNumber="1" containsInteger="1" minValue="1" maxValue="1"/>
    </cacheField>
    <cacheField name="Backers Level 31" numFmtId="0">
      <sharedItems containsString="0" containsBlank="1" containsNumber="1" containsInteger="1" minValue="0" maxValue="0"/>
    </cacheField>
    <cacheField name="Backers Level 32" numFmtId="0">
      <sharedItems containsString="0" containsBlank="1" containsNumber="1" containsInteger="1" minValue="1" maxValue="1"/>
    </cacheField>
    <cacheField name="Backers Level 33" numFmtId="0">
      <sharedItems containsString="0" containsBlank="1" containsNumber="1" containsInteger="1" minValue="0" maxValue="0"/>
    </cacheField>
    <cacheField name="Backers Level 34" numFmtId="0">
      <sharedItems containsString="0" containsBlank="1" containsNumber="1" containsInteger="1" minValue="0" maxValue="0"/>
    </cacheField>
    <cacheField name="Backers Level 35" numFmtId="0">
      <sharedItems containsString="0" containsBlank="1" containsNumber="1" containsInteger="1" minValue="0" maxValue="0"/>
    </cacheField>
    <cacheField name="Backers Level 36" numFmtId="0">
      <sharedItems containsString="0" containsBlank="1" containsNumber="1" containsInteger="1" minValue="0" maxValue="0"/>
    </cacheField>
    <cacheField name="Pledge Category" numFmtId="0">
      <sharedItems count="18">
        <s v="A - Less than $1,000 Raised"/>
        <s v="C - $10,000 to $19,999 Raised"/>
        <s v="B - $1,000 to $9,999 Raised"/>
        <s v="D - $20,000 to $99,999 Raised"/>
        <s v="E - $100K  to $999,999 Raised"/>
        <s v="F - $1M Raised"/>
        <s v="$1M Raised" u="1"/>
        <s v="$10,000 to $19,999 Raised" u="1"/>
        <s v="E" u="1"/>
        <s v="C" u="1"/>
        <s v="Less than $1,000 Raised" u="1"/>
        <s v="$1,000 to $9,999 Raised" u="1"/>
        <s v="A" u="1"/>
        <s v="F" u="1"/>
        <s v="$20,000 to $99,999 Raised" u="1"/>
        <s v="$100K  to $999,999 Raised" u="1"/>
        <s v="D" u="1"/>
        <s v="B" u="1"/>
      </sharedItems>
    </cacheField>
    <cacheField name="Rewards Offered" numFmtId="0">
      <sharedItems containsSemiMixedTypes="0" containsString="0" containsNumber="1" containsInteger="1" minValue="1" maxValue="36"/>
    </cacheField>
    <cacheField name="Rewards Backed" numFmtId="0">
      <sharedItems containsSemiMixedTypes="0" containsString="0" containsNumber="1" containsInteger="1" minValue="1" maxValue="27"/>
    </cacheField>
    <cacheField name="$/Backer" numFmtId="165">
      <sharedItems containsSemiMixedTypes="0" containsString="0" containsNumber="1" minValue="15" maxValue="322.58064516129031"/>
    </cacheField>
    <cacheField name="Pledge Check" numFmtId="0">
      <sharedItems/>
    </cacheField>
    <cacheField name="Pledge Count" numFmtId="164">
      <sharedItems containsSemiMixedTypes="0" containsString="0" containsNumber="1" containsInteger="1" minValue="15" maxValue="757774"/>
    </cacheField>
    <cacheField name="Exceeding Contributions" numFmtId="165">
      <sharedItems containsSemiMixedTypes="0" containsString="0" containsNumber="1" containsInteger="1" minValue="5" maxValue="435019"/>
    </cacheField>
    <cacheField name="Backers Check" numFmtId="0">
      <sharedItems/>
    </cacheField>
    <cacheField name="Backers Count" numFmtId="0">
      <sharedItems containsSemiMixedTypes="0" containsString="0" containsNumber="1" containsInteger="1" minValue="1" maxValue="25000"/>
    </cacheField>
    <cacheField name="Undisclosed Backers" numFmtId="0">
      <sharedItems containsSemiMixedTypes="0" containsString="0" containsNumber="1" containsInteger="1" minValue="-117" maxValue="151"/>
    </cacheField>
    <cacheField name="&gt;$0-$5" numFmtId="0">
      <sharedItems containsSemiMixedTypes="0" containsString="0" containsNumber="1" containsInteger="1" minValue="0" maxValue="11280"/>
    </cacheField>
    <cacheField name="&gt;$5-$10" numFmtId="0">
      <sharedItems containsSemiMixedTypes="0" containsString="0" containsNumber="1" containsInteger="1" minValue="0" maxValue="116"/>
    </cacheField>
    <cacheField name="&gt;$10-$25" numFmtId="0">
      <sharedItems containsSemiMixedTypes="0" containsString="0" containsNumber="1" containsInteger="1" minValue="0" maxValue="9333"/>
    </cacheField>
    <cacheField name="&gt;$25-$50" numFmtId="0">
      <sharedItems containsSemiMixedTypes="0" containsString="0" containsNumber="1" containsInteger="1" minValue="0" maxValue="1347"/>
    </cacheField>
    <cacheField name="&gt;$50-$100" numFmtId="0">
      <sharedItems containsSemiMixedTypes="0" containsString="0" containsNumber="1" containsInteger="1" minValue="0" maxValue="488"/>
    </cacheField>
    <cacheField name="&gt;$100-$250" numFmtId="0">
      <sharedItems containsSemiMixedTypes="0" containsString="0" containsNumber="1" containsInteger="1" minValue="0" maxValue="1673"/>
    </cacheField>
    <cacheField name="&gt;$250-$500" numFmtId="0">
      <sharedItems containsSemiMixedTypes="0" containsString="0" containsNumber="1" containsInteger="1" minValue="0" maxValue="739"/>
    </cacheField>
    <cacheField name="&gt;$500-$1,000" numFmtId="0">
      <sharedItems containsSemiMixedTypes="0" containsString="0" containsNumber="1" containsInteger="1" minValue="0" maxValue="104"/>
    </cacheField>
    <cacheField name="&gt;$1,000-$2,500" numFmtId="0">
      <sharedItems containsSemiMixedTypes="0" containsString="0" containsNumber="1" containsInteger="1" minValue="0" maxValue="3"/>
    </cacheField>
    <cacheField name="&gt;$2,501" numFmtId="0">
      <sharedItems containsSemiMixedTypes="0" containsString="0" containsNumber="1" containsInteger="1" minValue="0" maxValue="36"/>
    </cacheField>
    <cacheField name="Pledge/Backer" numFmtId="0" formula="Pledge/Backers" databaseField="0"/>
    <cacheField name="Backers/FB Friends" numFmtId="0" formula="Backers/'FB Friends'" databaseField="0"/>
    <cacheField name="% &gt;$0-$5" numFmtId="0" formula="'&gt;$0-$5'/Backers" databaseField="0"/>
    <cacheField name="% &gt;$5-$10" numFmtId="0" formula="'&gt;$5-$10'/Backers" databaseField="0"/>
    <cacheField name="% &gt;$10-$25" numFmtId="0" formula="'&gt;$10-$25'/Backers" databaseField="0"/>
    <cacheField name="% &gt;$25-$50" numFmtId="0" formula="'&gt;$25-$50'/Backers" databaseField="0"/>
    <cacheField name="% &gt;$50-$100" numFmtId="0" formula="'&gt;$50-$100'/Backers" databaseField="0"/>
    <cacheField name="% &gt;$100-$250" numFmtId="0" formula="'&gt;$100-$250'/Backers" databaseField="0"/>
    <cacheField name="% &gt;$250-$500" numFmtId="0" formula="'&gt;$250-$500'/Backers" databaseField="0"/>
    <cacheField name="% &gt;$500-$1,000" numFmtId="0" formula="'&gt;$500-$1,000'/Backers" databaseField="0"/>
    <cacheField name="% &gt;$1,000-$2,500" numFmtId="0" formula="'&gt;$1,000-$2,500'/Backers" databaseField="0"/>
    <cacheField name="% &gt;$2,501" numFmtId="0" formula="'&gt;$2,501'/Backers" databaseField="0"/>
    <cacheField name="% Undisclosed Backers" numFmtId="0" formula="'Undisclosed Backers'/Backers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2">
  <r>
    <s v="001"/>
    <d v="2012-02-23T00:00:00"/>
    <s v="Print and Distribute Brass Quintet No. 1!"/>
    <s v="David Schultz"/>
    <s v="http://www.kickstarter.com/projects/136667095/print-and-distribute-brass-quintet-no-1"/>
    <x v="0"/>
    <s v="West Hartford, CT"/>
    <s v="CT"/>
    <d v="2013-01-24T00:00:00"/>
    <d v="2013-02-23T00:00:00"/>
    <n v="305"/>
    <n v="250"/>
    <n v="14"/>
    <n v="797"/>
    <x v="0"/>
    <n v="10"/>
    <n v="20"/>
    <n v="35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0"/>
    <n v="3"/>
    <n v="4"/>
    <n v="3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4"/>
    <n v="3"/>
    <n v="21.785714285714285"/>
    <s v="N!"/>
    <n v="215"/>
    <n v="90"/>
    <s v="N!"/>
    <n v="10"/>
    <n v="4"/>
    <n v="0"/>
    <n v="3"/>
    <n v="4"/>
    <n v="3"/>
    <n v="0"/>
    <n v="0"/>
    <n v="0"/>
    <n v="0"/>
    <n v="0"/>
    <n v="0"/>
  </r>
  <r>
    <s v="002"/>
    <d v="2012-02-23T00:00:00"/>
    <s v="NEW EarlyRise Album"/>
    <s v="EarlyRise"/>
    <s v="http://www.kickstarter.com/projects/314679247/new-earlyrise-album?ref=card"/>
    <x v="1"/>
    <s v="New York, NY"/>
    <s v="NY"/>
    <d v="2012-12-25T00:00:00"/>
    <d v="2013-02-23T00:00:00"/>
    <n v="18338"/>
    <n v="15000"/>
    <n v="408"/>
    <m/>
    <x v="0"/>
    <n v="3"/>
    <n v="3"/>
    <n v="10"/>
    <n v="15"/>
    <n v="15"/>
    <n v="25"/>
    <n v="30"/>
    <n v="45"/>
    <n v="50"/>
    <n v="55"/>
    <n v="70"/>
    <n v="75"/>
    <n v="75"/>
    <n v="80"/>
    <n v="80"/>
    <n v="100"/>
    <n v="100"/>
    <n v="100"/>
    <n v="110"/>
    <n v="120"/>
    <n v="150"/>
    <n v="150"/>
    <n v="200"/>
    <n v="250"/>
    <n v="250"/>
    <n v="300"/>
    <n v="500"/>
    <n v="550"/>
    <n v="600"/>
    <n v="650"/>
    <n v="1000"/>
    <n v="1500"/>
    <n v="7000"/>
    <n v="10000"/>
    <n v="10000"/>
    <n v="15"/>
    <n v="9"/>
    <n v="10"/>
    <n v="19"/>
    <n v="65"/>
    <n v="38"/>
    <n v="9"/>
    <n v="96"/>
    <n v="9"/>
    <n v="13"/>
    <n v="56"/>
    <n v="10"/>
    <n v="2"/>
    <n v="4"/>
    <n v="2"/>
    <n v="1"/>
    <n v="0"/>
    <n v="1"/>
    <n v="3"/>
    <n v="2"/>
    <n v="16"/>
    <n v="1"/>
    <n v="1"/>
    <n v="2"/>
    <n v="7"/>
    <n v="0"/>
    <n v="0"/>
    <n v="1"/>
    <n v="0"/>
    <n v="1"/>
    <n v="0"/>
    <n v="1"/>
    <n v="0"/>
    <n v="0"/>
    <n v="0"/>
    <n v="0"/>
    <x v="1"/>
    <n v="36"/>
    <n v="27"/>
    <n v="44.946078431372548"/>
    <s v="N!"/>
    <n v="9747"/>
    <n v="8591"/>
    <s v="N!"/>
    <n v="394"/>
    <n v="14"/>
    <n v="34"/>
    <n v="19"/>
    <n v="112"/>
    <n v="118"/>
    <n v="79"/>
    <n v="29"/>
    <n v="1"/>
    <n v="2"/>
    <n v="0"/>
    <n v="0"/>
  </r>
  <r>
    <s v="003"/>
    <d v="2012-02-23T00:00:00"/>
    <s v="Signals in the Noise"/>
    <s v="Andrew Stiefel"/>
    <s v="http://www.kickstarter.com/projects/andrewstiefel/signals-in-the-noise?ref=card"/>
    <x v="0"/>
    <s v="Eugene, OR"/>
    <s v="OR"/>
    <d v="2013-02-02T00:00:00"/>
    <d v="2013-02-23T00:00:00"/>
    <n v="1395"/>
    <n v="1000"/>
    <n v="31"/>
    <n v="756"/>
    <x v="0"/>
    <n v="5"/>
    <n v="10"/>
    <n v="15"/>
    <n v="25"/>
    <n v="50"/>
    <n v="75"/>
    <n v="100"/>
    <n v="250"/>
    <m/>
    <m/>
    <m/>
    <m/>
    <m/>
    <m/>
    <m/>
    <m/>
    <m/>
    <m/>
    <m/>
    <m/>
    <m/>
    <m/>
    <m/>
    <m/>
    <m/>
    <m/>
    <m/>
    <m/>
    <m/>
    <m/>
    <m/>
    <m/>
    <m/>
    <m/>
    <m/>
    <n v="2"/>
    <n v="0"/>
    <n v="4"/>
    <n v="8"/>
    <n v="4"/>
    <n v="3"/>
    <n v="0"/>
    <n v="3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7"/>
    <n v="45"/>
    <s v="N!"/>
    <n v="962"/>
    <n v="433"/>
    <s v="N!"/>
    <n v="25"/>
    <n v="6"/>
    <n v="2"/>
    <n v="4"/>
    <n v="12"/>
    <n v="3"/>
    <n v="3"/>
    <n v="1"/>
    <n v="0"/>
    <n v="0"/>
    <n v="0"/>
    <n v="0"/>
  </r>
  <r>
    <s v="004"/>
    <d v="2012-02-23T00:00:00"/>
    <s v="Curci &quot;Speakeasy&quot; CD Launch"/>
    <s v="Curci"/>
    <s v="http://www.kickstarter.com/projects/649813891/curci-speakeasy-cd-launch?ref=card"/>
    <x v="2"/>
    <s v="Fort Collins, CO"/>
    <s v="CO"/>
    <d v="2013-01-23T00:00:00"/>
    <d v="2013-02-23T00:00:00"/>
    <n v="1000"/>
    <n v="1000"/>
    <n v="17"/>
    <m/>
    <x v="1"/>
    <n v="2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7"/>
    <n v="4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3"/>
    <n v="3"/>
    <n v="58.823529411764703"/>
    <s v="N!"/>
    <n v="545"/>
    <n v="455"/>
    <s v="N!"/>
    <n v="12"/>
    <n v="5"/>
    <n v="1"/>
    <n v="0"/>
    <n v="7"/>
    <n v="0"/>
    <n v="4"/>
    <n v="0"/>
    <n v="0"/>
    <n v="0"/>
    <n v="0"/>
    <n v="0"/>
  </r>
  <r>
    <s v="005"/>
    <d v="2012-02-23T00:00:00"/>
    <s v="RISK OF LOSS: Carl Anderson's 2nd Record"/>
    <s v="Carl Anderson"/>
    <s v="http://www.kickstarter.com/projects/56922157/risk-of-loss-carl-andersons-2nd-record?ref=card"/>
    <x v="3"/>
    <s v="Charlottesville, VA"/>
    <s v="VA"/>
    <d v="2013-01-23T00:00:00"/>
    <d v="2013-02-22T00:00:00"/>
    <n v="10315"/>
    <n v="10000"/>
    <n v="195"/>
    <n v="1516"/>
    <x v="2"/>
    <n v="20"/>
    <n v="50"/>
    <n v="100"/>
    <n v="250"/>
    <n v="500"/>
    <n v="1000"/>
    <n v="10000"/>
    <m/>
    <m/>
    <m/>
    <m/>
    <m/>
    <m/>
    <m/>
    <m/>
    <m/>
    <m/>
    <m/>
    <m/>
    <m/>
    <m/>
    <m/>
    <m/>
    <m/>
    <m/>
    <m/>
    <m/>
    <m/>
    <m/>
    <m/>
    <m/>
    <m/>
    <m/>
    <m/>
    <m/>
    <n v="56"/>
    <n v="78"/>
    <n v="26"/>
    <n v="14"/>
    <n v="4"/>
    <n v="3"/>
    <n v="1"/>
    <n v="0"/>
    <m/>
    <m/>
    <m/>
    <m/>
    <m/>
    <m/>
    <m/>
    <m/>
    <m/>
    <m/>
    <m/>
    <m/>
    <m/>
    <m/>
    <m/>
    <m/>
    <m/>
    <m/>
    <m/>
    <m/>
    <m/>
    <m/>
    <m/>
    <m/>
    <m/>
    <m/>
    <m/>
    <m/>
    <x v="1"/>
    <n v="8"/>
    <n v="7"/>
    <n v="52.897435897435898"/>
    <s v="N!"/>
    <n v="8320"/>
    <n v="1995"/>
    <s v="N!"/>
    <n v="182"/>
    <n v="13"/>
    <n v="0"/>
    <n v="56"/>
    <n v="78"/>
    <n v="26"/>
    <n v="14"/>
    <n v="4"/>
    <n v="3"/>
    <n v="1"/>
    <n v="0"/>
    <n v="0"/>
  </r>
  <r>
    <s v="006"/>
    <d v="2012-02-23T00:00:00"/>
    <s v="Nexus Chamber Orchestra's Debut Album"/>
    <s v="Nexus Chamber Orchestra"/>
    <s v="http://www.kickstarter.com/projects/nexusorchestra/nexus-chamber-orchestras-debut-album?ref=card"/>
    <x v="0"/>
    <s v="Brentwood, TN"/>
    <s v="TN"/>
    <d v="2013-01-23T00:00:00"/>
    <d v="2013-02-22T00:00:00"/>
    <n v="4180"/>
    <n v="4000"/>
    <n v="75"/>
    <m/>
    <x v="2"/>
    <n v="20"/>
    <n v="35"/>
    <n v="40"/>
    <n v="50"/>
    <n v="75"/>
    <n v="100"/>
    <n v="200"/>
    <n v="500"/>
    <n v="1000"/>
    <m/>
    <m/>
    <m/>
    <m/>
    <m/>
    <m/>
    <m/>
    <m/>
    <m/>
    <m/>
    <m/>
    <m/>
    <m/>
    <m/>
    <m/>
    <m/>
    <m/>
    <m/>
    <m/>
    <m/>
    <m/>
    <m/>
    <m/>
    <m/>
    <m/>
    <m/>
    <n v="19"/>
    <n v="22"/>
    <n v="4"/>
    <n v="5"/>
    <n v="7"/>
    <n v="0"/>
    <n v="3"/>
    <n v="6"/>
    <n v="1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8"/>
    <n v="55.733333333333334"/>
    <s v="N!"/>
    <n v="3320"/>
    <n v="860"/>
    <s v="N!"/>
    <n v="67"/>
    <n v="8"/>
    <n v="0"/>
    <n v="19"/>
    <n v="22"/>
    <n v="16"/>
    <n v="3"/>
    <n v="6"/>
    <n v="1"/>
    <n v="0"/>
    <n v="0"/>
    <n v="0"/>
  </r>
  <r>
    <s v="007"/>
    <d v="2012-02-23T00:00:00"/>
    <s v="Justin Berndt (The Outside Alliance) is making an EP!"/>
    <s v="Justin Berndt"/>
    <s v="http://www.kickstarter.com/projects/1433572932/justin-berndt-the-outside-alliance-is-making-an-ep?ref=card"/>
    <x v="4"/>
    <s v="Boulder, CO"/>
    <s v="CO"/>
    <d v="2013-01-23T00:00:00"/>
    <d v="2013-02-22T00:00:00"/>
    <n v="1623"/>
    <n v="1600"/>
    <n v="22"/>
    <n v="1321"/>
    <x v="2"/>
    <n v="2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0"/>
    <n v="1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2"/>
    <n v="2"/>
    <n v="73.772727272727266"/>
    <s v="N!"/>
    <n v="320"/>
    <n v="1303"/>
    <s v="N!"/>
    <n v="21"/>
    <n v="1"/>
    <n v="0"/>
    <n v="10"/>
    <n v="11"/>
    <n v="0"/>
    <n v="0"/>
    <n v="0"/>
    <n v="0"/>
    <n v="0"/>
    <n v="0"/>
    <n v="0"/>
  </r>
  <r>
    <s v="008"/>
    <d v="2012-02-23T00:00:00"/>
    <s v="Sandy Bailey's New Album - &quot;Running, Chasing&quot;"/>
    <s v="Sandy Bailey"/>
    <s v="http://www.kickstarter.com/projects/1590589776/sandy-baileys-new-album-running-chasing?ref=card"/>
    <x v="5"/>
    <s v="Turners Falls, MA"/>
    <s v="MA"/>
    <d v="2013-01-22T00:00:00"/>
    <d v="2013-02-21T00:00:00"/>
    <n v="6630"/>
    <n v="6500"/>
    <n v="75"/>
    <n v="421"/>
    <x v="0"/>
    <n v="10"/>
    <n v="25"/>
    <n v="40"/>
    <n v="50"/>
    <n v="75"/>
    <n v="150"/>
    <n v="300"/>
    <n v="500"/>
    <n v="1250"/>
    <m/>
    <m/>
    <m/>
    <m/>
    <m/>
    <m/>
    <m/>
    <m/>
    <m/>
    <m/>
    <m/>
    <m/>
    <m/>
    <m/>
    <m/>
    <m/>
    <m/>
    <m/>
    <m/>
    <m/>
    <m/>
    <m/>
    <m/>
    <m/>
    <m/>
    <m/>
    <n v="2"/>
    <n v="12"/>
    <n v="31"/>
    <n v="4"/>
    <n v="8"/>
    <n v="0"/>
    <n v="4"/>
    <n v="1"/>
    <n v="0"/>
    <n v="2"/>
    <m/>
    <m/>
    <m/>
    <m/>
    <m/>
    <m/>
    <m/>
    <m/>
    <m/>
    <m/>
    <m/>
    <m/>
    <m/>
    <m/>
    <m/>
    <m/>
    <m/>
    <m/>
    <m/>
    <m/>
    <m/>
    <m/>
    <m/>
    <m/>
    <m/>
    <m/>
    <x v="2"/>
    <n v="10"/>
    <n v="8"/>
    <n v="88.4"/>
    <s v="N!"/>
    <n v="4857"/>
    <n v="1773"/>
    <s v="N!"/>
    <n v="64"/>
    <n v="11"/>
    <n v="2"/>
    <n v="12"/>
    <n v="31"/>
    <n v="12"/>
    <n v="0"/>
    <n v="4"/>
    <n v="1"/>
    <n v="0"/>
    <n v="2"/>
    <n v="0"/>
  </r>
  <r>
    <s v="009"/>
    <d v="2012-02-23T00:00:00"/>
    <s v="Penny Rae's Debut EP!"/>
    <s v="Penny Rae"/>
    <s v="http://www.kickstarter.com/projects/1152235094/penny-raes-debut-ep?ref=card"/>
    <x v="3"/>
    <s v="Nashville, TN"/>
    <s v="TN"/>
    <d v="2013-01-22T00:00:00"/>
    <d v="2013-02-21T00:00:00"/>
    <n v="4236"/>
    <n v="3500"/>
    <n v="92"/>
    <n v="914"/>
    <x v="1"/>
    <n v="10"/>
    <n v="20"/>
    <n v="30"/>
    <n v="40"/>
    <n v="50"/>
    <n v="60"/>
    <n v="75"/>
    <n v="100"/>
    <n v="150"/>
    <n v="250"/>
    <n v="250"/>
    <n v="500"/>
    <n v="500"/>
    <n v="1000"/>
    <n v="1000"/>
    <n v="3500"/>
    <m/>
    <m/>
    <m/>
    <m/>
    <m/>
    <m/>
    <m/>
    <m/>
    <m/>
    <m/>
    <m/>
    <m/>
    <m/>
    <m/>
    <m/>
    <m/>
    <m/>
    <m/>
    <m/>
    <n v="13"/>
    <n v="9"/>
    <n v="22"/>
    <n v="7"/>
    <n v="1"/>
    <n v="9"/>
    <n v="1"/>
    <n v="4"/>
    <n v="5"/>
    <n v="2"/>
    <n v="3"/>
    <n v="0"/>
    <n v="0"/>
    <n v="1"/>
    <n v="0"/>
    <n v="0"/>
    <n v="0"/>
    <m/>
    <m/>
    <m/>
    <m/>
    <m/>
    <m/>
    <m/>
    <m/>
    <m/>
    <m/>
    <m/>
    <m/>
    <m/>
    <m/>
    <m/>
    <m/>
    <m/>
    <m/>
    <m/>
    <x v="2"/>
    <n v="17"/>
    <n v="12"/>
    <n v="46.043478260869563"/>
    <s v="N!"/>
    <n v="3205"/>
    <n v="1031"/>
    <s v="N!"/>
    <n v="77"/>
    <n v="15"/>
    <n v="13"/>
    <n v="9"/>
    <n v="22"/>
    <n v="17"/>
    <n v="10"/>
    <n v="5"/>
    <n v="1"/>
    <n v="0"/>
    <n v="0"/>
    <n v="0"/>
  </r>
  <r>
    <s v="010"/>
    <d v="2012-02-23T00:00:00"/>
    <s v="Caterpillars First Full Length Album"/>
    <s v="Caterpillars"/>
    <s v="http://www.kickstarter.com/projects/1233837061/caterpillars-first-full-length-album?ref=card"/>
    <x v="6"/>
    <s v="Dallas, TX"/>
    <s v="TX"/>
    <d v="2013-01-22T00:00:00"/>
    <d v="2013-02-21T00:00:00"/>
    <n v="2605"/>
    <n v="2500"/>
    <n v="62"/>
    <n v="721"/>
    <x v="2"/>
    <n v="20"/>
    <n v="30"/>
    <n v="40"/>
    <n v="50"/>
    <n v="6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n v="19"/>
    <n v="8"/>
    <n v="8"/>
    <n v="5"/>
    <n v="3"/>
    <n v="3"/>
    <n v="7"/>
    <n v="1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8"/>
    <n v="42.016129032258064"/>
    <s v="N!"/>
    <n v="2320"/>
    <n v="285"/>
    <s v="N!"/>
    <n v="54"/>
    <n v="8"/>
    <n v="0"/>
    <n v="19"/>
    <n v="8"/>
    <n v="16"/>
    <n v="10"/>
    <n v="0"/>
    <n v="1"/>
    <n v="0"/>
    <n v="0"/>
    <n v="0"/>
  </r>
  <r>
    <s v="011"/>
    <d v="2012-02-23T00:00:00"/>
    <s v="The Freeway Revival Debut Album"/>
    <s v="Joseph H. Lee"/>
    <s v="http://www.kickstarter.com/projects/thefreewayrevival/the-freeway-revival-debut-album?ref=card"/>
    <x v="1"/>
    <s v="Asheville, NC"/>
    <s v="NC"/>
    <d v="2013-02-02T00:00:00"/>
    <d v="2013-02-21T00:00:00"/>
    <n v="3120"/>
    <n v="2550"/>
    <n v="40"/>
    <n v="650"/>
    <x v="1"/>
    <n v="20"/>
    <n v="50"/>
    <n v="1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4"/>
    <n v="16"/>
    <n v="6"/>
    <n v="8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4"/>
    <n v="4"/>
    <n v="78"/>
    <s v="N!"/>
    <n v="1840"/>
    <n v="1280"/>
    <s v="N!"/>
    <n v="34"/>
    <n v="6"/>
    <n v="4"/>
    <n v="0"/>
    <n v="16"/>
    <n v="6"/>
    <n v="0"/>
    <n v="8"/>
    <n v="0"/>
    <n v="0"/>
    <n v="0"/>
    <n v="0"/>
  </r>
  <r>
    <s v="012"/>
    <d v="2012-02-23T00:00:00"/>
    <s v="The Great Hiatum album project"/>
    <s v="Melissa Randel"/>
    <s v="http://www.kickstarter.com/projects/826436250/the-great-hiatum-album-project?ref=card"/>
    <x v="6"/>
    <s v="Eugene, OR"/>
    <s v="OR"/>
    <d v="2013-02-07T00:00:00"/>
    <d v="2013-02-21T00:00:00"/>
    <n v="440"/>
    <n v="400"/>
    <n v="10"/>
    <n v="820"/>
    <x v="2"/>
    <n v="20"/>
    <n v="40"/>
    <n v="100"/>
    <n v="4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"/>
    <n v="0"/>
    <n v="5"/>
    <n v="1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5"/>
    <n v="3"/>
    <n v="44"/>
    <s v="N!"/>
    <n v="320"/>
    <n v="120"/>
    <s v="N!"/>
    <n v="8"/>
    <n v="2"/>
    <n v="0"/>
    <n v="2"/>
    <n v="0"/>
    <n v="5"/>
    <n v="1"/>
    <n v="0"/>
    <n v="0"/>
    <n v="0"/>
    <n v="0"/>
    <n v="0"/>
  </r>
  <r>
    <s v="013"/>
    <d v="2012-02-23T00:00:00"/>
    <s v="Be a backer of Aaron Allan's &quot;Satisfaction&quot; compilation CD"/>
    <s v="Gary Hickinbotham / Red Nickel Records"/>
    <s v="http://www.kickstarter.com/projects/1761800601/be-a-backer-of-aaron-allans-satisfaction-compilati?ref=card"/>
    <x v="5"/>
    <s v="San Marcos, TX"/>
    <s v="TX"/>
    <d v="2013-01-18T00:00:00"/>
    <d v="2013-02-21T00:00:00"/>
    <n v="2551"/>
    <n v="2500"/>
    <n v="34"/>
    <n v="291"/>
    <x v="2"/>
    <n v="20"/>
    <n v="34"/>
    <n v="40"/>
    <n v="80"/>
    <n v="1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6"/>
    <n v="6"/>
    <n v="1"/>
    <n v="3"/>
    <n v="4"/>
    <n v="1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6"/>
    <n v="75.029411764705884"/>
    <s v="N!"/>
    <n v="2154"/>
    <n v="397"/>
    <s v="N!"/>
    <n v="30"/>
    <n v="4"/>
    <n v="0"/>
    <n v="6"/>
    <n v="6"/>
    <n v="4"/>
    <n v="4"/>
    <n v="10"/>
    <n v="0"/>
    <n v="0"/>
    <n v="0"/>
    <n v="0"/>
  </r>
  <r>
    <s v="014"/>
    <d v="2012-02-23T00:00:00"/>
    <s v="Sammy Bananas - Bootlegs Vol. 1 (limited vinyl release!)"/>
    <s v="Sammy Bananas"/>
    <s v="http://www.kickstarter.com/projects/1693727165/sammy-bananas-bootlegs-vol-1-limited-vinyl-release?ref=card"/>
    <x v="7"/>
    <s v="Brooklyn, NY"/>
    <s v="NY"/>
    <d v="2013-01-22T00:00:00"/>
    <d v="2013-01-21T00:00:00"/>
    <n v="4434"/>
    <n v="3250"/>
    <n v="108"/>
    <m/>
    <x v="3"/>
    <n v="20"/>
    <n v="25"/>
    <n v="35"/>
    <n v="50"/>
    <n v="70"/>
    <n v="115"/>
    <n v="500"/>
    <m/>
    <m/>
    <m/>
    <m/>
    <m/>
    <m/>
    <m/>
    <m/>
    <m/>
    <m/>
    <m/>
    <m/>
    <m/>
    <m/>
    <m/>
    <m/>
    <m/>
    <m/>
    <m/>
    <m/>
    <m/>
    <m/>
    <m/>
    <m/>
    <m/>
    <m/>
    <m/>
    <m/>
    <n v="7"/>
    <n v="51"/>
    <n v="10"/>
    <n v="17"/>
    <n v="9"/>
    <n v="8"/>
    <n v="2"/>
    <n v="2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8"/>
    <n v="41.055555555555557"/>
    <s v="N!"/>
    <n v="4154"/>
    <n v="280"/>
    <s v="N!"/>
    <n v="106"/>
    <n v="2"/>
    <n v="0"/>
    <n v="7"/>
    <n v="61"/>
    <n v="26"/>
    <n v="8"/>
    <n v="2"/>
    <n v="2"/>
    <n v="0"/>
    <n v="0"/>
    <n v="0"/>
  </r>
  <r>
    <s v="015"/>
    <d v="2012-02-23T00:00:00"/>
    <s v="Help Hope &amp; Tim Glenn make a record."/>
    <s v="Tim Glenn"/>
    <s v="http://www.kickstarter.com/projects/730488506/help-hope-and-tim-glenn-make-a-record?ref=card"/>
    <x v="3"/>
    <s v="Salt Lake City, UT"/>
    <s v="UT"/>
    <d v="2013-01-22T00:00:00"/>
    <d v="2013-02-21T00:00:00"/>
    <n v="3565"/>
    <n v="3500"/>
    <n v="46"/>
    <m/>
    <x v="0"/>
    <n v="5"/>
    <n v="15"/>
    <n v="25"/>
    <n v="35"/>
    <n v="45"/>
    <n v="50"/>
    <n v="60"/>
    <n v="75"/>
    <n v="95"/>
    <n v="125"/>
    <n v="140"/>
    <n v="200"/>
    <n v="250"/>
    <n v="1500"/>
    <m/>
    <m/>
    <m/>
    <m/>
    <m/>
    <m/>
    <m/>
    <m/>
    <m/>
    <m/>
    <m/>
    <m/>
    <m/>
    <m/>
    <m/>
    <m/>
    <m/>
    <m/>
    <m/>
    <m/>
    <m/>
    <n v="0"/>
    <n v="1"/>
    <n v="2"/>
    <n v="10"/>
    <n v="9"/>
    <n v="3"/>
    <n v="0"/>
    <n v="1"/>
    <n v="1"/>
    <n v="3"/>
    <n v="4"/>
    <n v="1"/>
    <n v="4"/>
    <n v="2"/>
    <n v="0"/>
    <m/>
    <m/>
    <m/>
    <m/>
    <m/>
    <m/>
    <m/>
    <m/>
    <m/>
    <m/>
    <m/>
    <m/>
    <m/>
    <m/>
    <m/>
    <m/>
    <m/>
    <m/>
    <m/>
    <m/>
    <m/>
    <x v="2"/>
    <n v="15"/>
    <n v="12"/>
    <n v="77.5"/>
    <s v="N!"/>
    <n v="1795"/>
    <n v="1770"/>
    <s v="N!"/>
    <n v="41"/>
    <n v="5"/>
    <n v="1"/>
    <n v="0"/>
    <n v="12"/>
    <n v="12"/>
    <n v="5"/>
    <n v="11"/>
    <n v="0"/>
    <n v="0"/>
    <n v="0"/>
    <n v="0"/>
  </r>
  <r>
    <s v="016"/>
    <d v="2012-02-23T00:00:00"/>
    <s v="Mitch McVicker is recording a new 10-song CD, &quot;Underneath&quot;"/>
    <s v="Mitch McVicker"/>
    <s v="http://www.kickstarter.com/projects/37265888/mitch-mcvicker-is-recording-a-new-10-song-cd-under?ref=card"/>
    <x v="6"/>
    <s v="Woodstock, GA"/>
    <s v="GA"/>
    <d v="2013-01-22T00:00:00"/>
    <d v="2013-02-21T00:00:00"/>
    <n v="17935"/>
    <n v="6500"/>
    <n v="106"/>
    <n v="2735"/>
    <x v="1"/>
    <n v="10"/>
    <n v="15"/>
    <n v="25"/>
    <n v="35"/>
    <n v="45"/>
    <n v="60"/>
    <n v="80"/>
    <n v="100"/>
    <n v="125"/>
    <n v="175"/>
    <n v="250"/>
    <n v="325"/>
    <n v="350"/>
    <n v="400"/>
    <n v="425"/>
    <n v="475"/>
    <n v="500"/>
    <n v="800"/>
    <n v="1000"/>
    <n v="1200"/>
    <n v="1500"/>
    <n v="1750"/>
    <n v="2500"/>
    <n v="3000"/>
    <m/>
    <m/>
    <m/>
    <m/>
    <m/>
    <m/>
    <m/>
    <m/>
    <m/>
    <m/>
    <m/>
    <n v="0"/>
    <n v="0"/>
    <n v="12"/>
    <n v="35"/>
    <n v="2"/>
    <n v="5"/>
    <n v="6"/>
    <n v="4"/>
    <n v="6"/>
    <n v="16"/>
    <n v="0"/>
    <n v="2"/>
    <n v="1"/>
    <n v="1"/>
    <n v="0"/>
    <n v="0"/>
    <n v="2"/>
    <n v="1"/>
    <n v="1"/>
    <n v="0"/>
    <n v="0"/>
    <n v="0"/>
    <n v="0"/>
    <n v="0"/>
    <n v="0"/>
    <m/>
    <m/>
    <m/>
    <m/>
    <m/>
    <m/>
    <m/>
    <m/>
    <m/>
    <m/>
    <m/>
    <x v="1"/>
    <n v="25"/>
    <n v="14"/>
    <n v="169.19811320754718"/>
    <s v="N!"/>
    <n v="5130"/>
    <n v="12805"/>
    <s v="N!"/>
    <n v="94"/>
    <n v="12"/>
    <n v="0"/>
    <n v="0"/>
    <n v="47"/>
    <n v="7"/>
    <n v="16"/>
    <n v="18"/>
    <n v="5"/>
    <n v="1"/>
    <n v="0"/>
    <n v="0"/>
  </r>
  <r>
    <s v="017"/>
    <d v="2012-02-23T00:00:00"/>
    <s v="Under The Half Dome: An Album by Sierra Composer, Ken Allen"/>
    <s v="Ken Allen"/>
    <s v="http://www.kickstarter.com/projects/mrkenallen/under-the-half-dome-an-album-by-sierra-composer-ke?ref=card"/>
    <x v="5"/>
    <s v="San Francisco, CA"/>
    <s v="CA"/>
    <d v="2013-01-22T00:00:00"/>
    <d v="2013-02-21T00:00:00"/>
    <n v="21090"/>
    <n v="10000"/>
    <n v="575"/>
    <n v="924"/>
    <x v="1"/>
    <n v="15"/>
    <n v="20"/>
    <n v="25"/>
    <n v="30"/>
    <n v="50"/>
    <n v="75"/>
    <n v="100"/>
    <n v="100"/>
    <n v="125"/>
    <n v="125"/>
    <n v="150"/>
    <n v="175"/>
    <n v="200"/>
    <n v="250"/>
    <n v="500"/>
    <n v="750"/>
    <n v="1000"/>
    <n v="2000"/>
    <m/>
    <m/>
    <m/>
    <m/>
    <m/>
    <m/>
    <m/>
    <m/>
    <m/>
    <m/>
    <m/>
    <m/>
    <m/>
    <m/>
    <m/>
    <m/>
    <m/>
    <n v="6"/>
    <n v="209"/>
    <n v="34"/>
    <n v="12"/>
    <n v="221"/>
    <n v="35"/>
    <n v="11"/>
    <n v="3"/>
    <n v="12"/>
    <n v="0"/>
    <n v="4"/>
    <n v="2"/>
    <n v="0"/>
    <n v="7"/>
    <n v="1"/>
    <n v="5"/>
    <n v="0"/>
    <n v="0"/>
    <n v="0"/>
    <m/>
    <m/>
    <m/>
    <m/>
    <m/>
    <m/>
    <m/>
    <m/>
    <m/>
    <m/>
    <m/>
    <m/>
    <m/>
    <m/>
    <m/>
    <m/>
    <m/>
    <x v="3"/>
    <n v="19"/>
    <n v="14"/>
    <n v="36.678260869565214"/>
    <s v="N!"/>
    <n v="15650"/>
    <n v="5440"/>
    <s v="N!"/>
    <n v="562"/>
    <n v="13"/>
    <n v="6"/>
    <n v="0"/>
    <n v="255"/>
    <n v="256"/>
    <n v="26"/>
    <n v="14"/>
    <n v="5"/>
    <n v="0"/>
    <n v="0"/>
    <n v="0"/>
  </r>
  <r>
    <s v="018"/>
    <d v="2012-02-23T00:00:00"/>
    <s v="Kip Fox Worship EP (The Sequel)"/>
    <s v="Kip Fox"/>
    <s v="http://www.kickstarter.com/projects/1143735669/kip-fox-worship-ep-the-sequel?ref=card"/>
    <x v="5"/>
    <s v="Nashville, TN"/>
    <s v="TN"/>
    <d v="2013-01-24T00:00:00"/>
    <d v="2013-01-21T00:00:00"/>
    <n v="6486"/>
    <n v="6000"/>
    <n v="106"/>
    <n v="764"/>
    <x v="2"/>
    <n v="25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m/>
    <m/>
    <n v="20"/>
    <n v="50"/>
    <n v="14"/>
    <n v="9"/>
    <n v="4"/>
    <n v="3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7"/>
    <n v="6"/>
    <n v="61.188679245283019"/>
    <s v="N!"/>
    <n v="5550"/>
    <n v="936"/>
    <s v="N!"/>
    <n v="100"/>
    <n v="6"/>
    <n v="0"/>
    <n v="20"/>
    <n v="50"/>
    <n v="14"/>
    <n v="9"/>
    <n v="4"/>
    <n v="3"/>
    <n v="0"/>
    <n v="0"/>
    <n v="0"/>
  </r>
  <r>
    <s v="019"/>
    <d v="2012-02-23T00:00:00"/>
    <s v="Annabelle's Curse presents &quot;Hollow Creature&quot;"/>
    <s v="Annabelle's Curse"/>
    <s v="http://www.kickstarter.com/projects/992715105/annabelles-curse-presents-hollow-creature?ref=card"/>
    <x v="5"/>
    <s v="Bristol, VA"/>
    <s v="VA"/>
    <d v="2013-01-25T00:00:00"/>
    <d v="2013-02-20T00:00:00"/>
    <n v="11600"/>
    <n v="8000"/>
    <n v="141"/>
    <m/>
    <x v="0"/>
    <n v="10"/>
    <n v="25"/>
    <n v="50"/>
    <n v="100"/>
    <n v="250"/>
    <n v="500"/>
    <n v="1000"/>
    <n v="2000"/>
    <n v="5000"/>
    <n v="8000"/>
    <m/>
    <m/>
    <m/>
    <m/>
    <m/>
    <m/>
    <m/>
    <m/>
    <m/>
    <m/>
    <m/>
    <m/>
    <m/>
    <m/>
    <m/>
    <m/>
    <m/>
    <m/>
    <m/>
    <m/>
    <m/>
    <m/>
    <m/>
    <m/>
    <m/>
    <n v="2"/>
    <n v="33"/>
    <n v="46"/>
    <n v="23"/>
    <n v="20"/>
    <n v="2"/>
    <n v="1"/>
    <n v="0"/>
    <n v="0"/>
    <n v="1"/>
    <n v="0"/>
    <m/>
    <m/>
    <m/>
    <m/>
    <m/>
    <m/>
    <m/>
    <m/>
    <m/>
    <m/>
    <m/>
    <m/>
    <m/>
    <m/>
    <m/>
    <m/>
    <m/>
    <m/>
    <m/>
    <m/>
    <m/>
    <m/>
    <m/>
    <m/>
    <m/>
    <x v="1"/>
    <n v="11"/>
    <n v="8"/>
    <n v="82.269503546099287"/>
    <s v="N!"/>
    <n v="10632"/>
    <n v="968"/>
    <s v="N!"/>
    <n v="128"/>
    <n v="13"/>
    <n v="2"/>
    <n v="33"/>
    <n v="46"/>
    <n v="23"/>
    <n v="20"/>
    <n v="2"/>
    <n v="1"/>
    <n v="0"/>
    <n v="0"/>
    <n v="1"/>
  </r>
  <r>
    <s v="020"/>
    <d v="2012-02-23T00:00:00"/>
    <s v="LEARNING TEAM EP"/>
    <s v="Learning Team"/>
    <s v="http://www.kickstarter.com/projects/119234264/learning-team-ep?ref=card"/>
    <x v="6"/>
    <s v="Bellingham, WA"/>
    <s v="WA"/>
    <d v="2013-01-21T00:00:00"/>
    <d v="2013-02-20T00:00:00"/>
    <n v="3357"/>
    <n v="2500"/>
    <n v="115"/>
    <m/>
    <x v="1"/>
    <n v="10"/>
    <n v="20"/>
    <n v="50"/>
    <n v="100"/>
    <n v="2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3"/>
    <n v="27"/>
    <n v="34"/>
    <n v="15"/>
    <n v="9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6"/>
    <n v="29.191304347826087"/>
    <s v="N!"/>
    <n v="2965"/>
    <n v="392"/>
    <s v="N!"/>
    <n v="109"/>
    <n v="6"/>
    <n v="23"/>
    <n v="27"/>
    <n v="34"/>
    <n v="15"/>
    <n v="9"/>
    <n v="1"/>
    <n v="0"/>
    <n v="0"/>
    <n v="0"/>
    <n v="0"/>
  </r>
  <r>
    <s v="021"/>
    <d v="2013-02-24T00:00:00"/>
    <s v="At your demand: The Honey on vinyl"/>
    <s v="Deep Thinka Records, LLC"/>
    <s v="http://www.kickstarter.com/projects/dtr45/at-your-demand-the-honey-on-vinyl?ref=card"/>
    <x v="5"/>
    <s v="Buffalo, NY"/>
    <s v="NY"/>
    <d v="2013-01-21T00:00:00"/>
    <d v="2013-02-20T00:00:00"/>
    <n v="3397"/>
    <n v="3333"/>
    <n v="102"/>
    <n v="216"/>
    <x v="0"/>
    <n v="10"/>
    <n v="15"/>
    <n v="20"/>
    <n v="22"/>
    <n v="25"/>
    <n v="30"/>
    <n v="35"/>
    <n v="40"/>
    <n v="50"/>
    <n v="75"/>
    <n v="100"/>
    <n v="250"/>
    <n v="500"/>
    <m/>
    <m/>
    <m/>
    <m/>
    <m/>
    <m/>
    <m/>
    <m/>
    <m/>
    <m/>
    <m/>
    <m/>
    <m/>
    <m/>
    <m/>
    <m/>
    <m/>
    <m/>
    <m/>
    <m/>
    <m/>
    <m/>
    <n v="5"/>
    <n v="12"/>
    <n v="10"/>
    <n v="32"/>
    <n v="6"/>
    <n v="4"/>
    <n v="3"/>
    <n v="4"/>
    <n v="5"/>
    <n v="2"/>
    <n v="5"/>
    <n v="2"/>
    <n v="0"/>
    <n v="1"/>
    <m/>
    <m/>
    <m/>
    <m/>
    <m/>
    <m/>
    <m/>
    <m/>
    <m/>
    <m/>
    <m/>
    <m/>
    <m/>
    <m/>
    <m/>
    <m/>
    <m/>
    <m/>
    <m/>
    <m/>
    <m/>
    <m/>
    <x v="2"/>
    <n v="14"/>
    <n v="13"/>
    <n v="33.303921568627452"/>
    <s v="N!"/>
    <n v="2252"/>
    <n v="1145"/>
    <s v="N!"/>
    <n v="91"/>
    <n v="11"/>
    <n v="5"/>
    <n v="12"/>
    <n v="52"/>
    <n v="14"/>
    <n v="7"/>
    <n v="0"/>
    <n v="1"/>
    <n v="0"/>
    <n v="0"/>
    <n v="0"/>
  </r>
  <r>
    <s v="022"/>
    <d v="2013-02-24T00:00:00"/>
    <s v="Woodruff's Acoustic Showcase- Live Recording!"/>
    <s v="Aaron Singer"/>
    <s v="http://www.kickstarter.com/projects/1748785992/woodruffs-acoustic-showcase-live-recording?ref=card"/>
    <x v="5"/>
    <s v="Ypsilanti, MI"/>
    <s v="MI"/>
    <d v="2013-02-06T00:00:00"/>
    <d v="2013-02-20T00:00:00"/>
    <n v="510"/>
    <n v="500"/>
    <n v="18"/>
    <m/>
    <x v="1"/>
    <n v="10"/>
    <n v="10"/>
    <n v="10"/>
    <n v="20"/>
    <n v="20"/>
    <n v="25"/>
    <n v="100"/>
    <n v="100"/>
    <m/>
    <m/>
    <m/>
    <m/>
    <m/>
    <m/>
    <m/>
    <m/>
    <m/>
    <m/>
    <m/>
    <m/>
    <m/>
    <m/>
    <m/>
    <m/>
    <m/>
    <m/>
    <m/>
    <m/>
    <m/>
    <m/>
    <m/>
    <m/>
    <m/>
    <m/>
    <m/>
    <n v="2"/>
    <n v="5"/>
    <n v="1"/>
    <n v="2"/>
    <n v="0"/>
    <n v="1"/>
    <n v="4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x v="0"/>
    <n v="9"/>
    <n v="8"/>
    <n v="28.333333333333332"/>
    <s v="N!"/>
    <n v="410"/>
    <n v="100"/>
    <s v="N!"/>
    <n v="17"/>
    <n v="1"/>
    <n v="2"/>
    <n v="8"/>
    <n v="5"/>
    <n v="0"/>
    <n v="2"/>
    <n v="0"/>
    <n v="0"/>
    <n v="0"/>
    <n v="0"/>
    <n v="0"/>
  </r>
  <r>
    <s v="023"/>
    <d v="2013-02-24T00:00:00"/>
    <s v="Tour Preparations Needed!"/>
    <s v="Sintonik"/>
    <s v="http://www.kickstarter.com/projects/sintonik/tour-preparations-needed?ref=card"/>
    <x v="1"/>
    <s v="Nashville, TN"/>
    <s v="TN"/>
    <d v="2013-02-04T00:00:00"/>
    <d v="2013-02-19T00:00:00"/>
    <n v="1630"/>
    <n v="1000"/>
    <n v="19"/>
    <m/>
    <x v="0"/>
    <n v="5"/>
    <n v="10"/>
    <n v="20"/>
    <n v="30"/>
    <n v="40"/>
    <n v="50"/>
    <n v="60"/>
    <n v="75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n v="1"/>
    <n v="4"/>
    <n v="1"/>
    <n v="1"/>
    <n v="3"/>
    <n v="1"/>
    <n v="0"/>
    <n v="0"/>
    <n v="1"/>
    <n v="2"/>
    <n v="1"/>
    <n v="1"/>
    <n v="0"/>
    <m/>
    <m/>
    <m/>
    <m/>
    <m/>
    <m/>
    <m/>
    <m/>
    <m/>
    <m/>
    <m/>
    <m/>
    <m/>
    <m/>
    <m/>
    <m/>
    <m/>
    <m/>
    <m/>
    <m/>
    <m/>
    <m/>
    <m/>
    <x v="2"/>
    <n v="13"/>
    <n v="10"/>
    <n v="85.78947368421052"/>
    <s v="N!"/>
    <n v="1206"/>
    <n v="424"/>
    <s v="N!"/>
    <n v="16"/>
    <n v="3"/>
    <n v="5"/>
    <n v="1"/>
    <n v="1"/>
    <n v="4"/>
    <n v="3"/>
    <n v="1"/>
    <n v="1"/>
    <n v="0"/>
    <n v="0"/>
    <n v="0"/>
  </r>
  <r>
    <s v="024"/>
    <d v="2013-02-24T00:00:00"/>
    <s v="A Spotless Rose: Christmas with The Ensemble CD"/>
    <s v="Patrick McDonough"/>
    <s v="http://www.kickstarter.com/projects/2074708576/a-spotless-rose-christmas-with-the-ensemble-cd?ref=card"/>
    <x v="0"/>
    <s v="Portland, OR"/>
    <s v="OR"/>
    <d v="2013-02-04T00:00:00"/>
    <d v="2013-02-19T00:00:00"/>
    <n v="2345"/>
    <n v="2000"/>
    <n v="33"/>
    <n v="758"/>
    <x v="2"/>
    <n v="25"/>
    <n v="50"/>
    <n v="100"/>
    <n v="25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7"/>
    <n v="15"/>
    <n v="4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6"/>
    <n v="71.060606060606062"/>
    <s v="N!"/>
    <n v="2085"/>
    <n v="260"/>
    <s v="N!"/>
    <n v="29"/>
    <n v="4"/>
    <n v="0"/>
    <n v="1"/>
    <n v="7"/>
    <n v="15"/>
    <n v="4"/>
    <n v="1"/>
    <n v="1"/>
    <n v="0"/>
    <n v="0"/>
    <n v="0"/>
  </r>
  <r>
    <s v="025"/>
    <d v="2013-02-24T00:00:00"/>
    <s v="Memphis Repertory Orchestra - Debut Studio Recording"/>
    <s v="Memphis Repertory Orchestra"/>
    <s v="http://www.kickstarter.com/projects/mro/memphis-repertory-orchestra-debut-studio-recording?ref=card"/>
    <x v="0"/>
    <s v="Memphis, TN"/>
    <s v="TN"/>
    <d v="2013-01-25T00:00:00"/>
    <d v="2013-02-19T00:00:00"/>
    <n v="4160"/>
    <n v="4000"/>
    <n v="40"/>
    <m/>
    <x v="0"/>
    <n v="25"/>
    <n v="50"/>
    <n v="100"/>
    <n v="150"/>
    <n v="250"/>
    <n v="400"/>
    <m/>
    <m/>
    <m/>
    <m/>
    <m/>
    <m/>
    <m/>
    <m/>
    <m/>
    <m/>
    <m/>
    <m/>
    <m/>
    <m/>
    <m/>
    <m/>
    <m/>
    <m/>
    <m/>
    <m/>
    <m/>
    <m/>
    <m/>
    <m/>
    <m/>
    <m/>
    <m/>
    <m/>
    <m/>
    <n v="6"/>
    <n v="9"/>
    <n v="8"/>
    <n v="8"/>
    <n v="4"/>
    <n v="0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7"/>
    <n v="6"/>
    <n v="104"/>
    <s v="N!"/>
    <n v="2431"/>
    <n v="1729"/>
    <s v="N!"/>
    <n v="36"/>
    <n v="4"/>
    <n v="6"/>
    <n v="0"/>
    <n v="9"/>
    <n v="8"/>
    <n v="8"/>
    <n v="4"/>
    <n v="1"/>
    <n v="0"/>
    <n v="0"/>
    <n v="0"/>
  </r>
  <r>
    <s v="026"/>
    <d v="2013-02-25T00:00:00"/>
    <s v="MUSIC VIDEO FOR SEAS OF WAKE SONG &quot;DYING OF HUMANITY&quot;!"/>
    <s v="Seas of Wake"/>
    <s v="http://www.kickstarter.com/projects/seasofwake/music-video-for-seas-of-wake-song-dying-of-humanit?ref=card"/>
    <x v="5"/>
    <s v="Hoboken, NJ"/>
    <s v="NJ"/>
    <d v="2012-12-21T00:00:00"/>
    <d v="2013-02-19T00:00:00"/>
    <n v="3467"/>
    <n v="3000"/>
    <n v="56"/>
    <m/>
    <x v="0"/>
    <n v="5"/>
    <n v="10"/>
    <n v="20"/>
    <n v="50"/>
    <n v="75"/>
    <n v="100"/>
    <n v="150"/>
    <n v="200"/>
    <m/>
    <m/>
    <m/>
    <m/>
    <m/>
    <m/>
    <m/>
    <m/>
    <m/>
    <m/>
    <m/>
    <m/>
    <m/>
    <m/>
    <m/>
    <m/>
    <m/>
    <m/>
    <m/>
    <m/>
    <m/>
    <m/>
    <m/>
    <m/>
    <m/>
    <m/>
    <m/>
    <n v="1"/>
    <n v="4"/>
    <n v="4"/>
    <n v="13"/>
    <n v="9"/>
    <n v="0"/>
    <n v="5"/>
    <n v="0"/>
    <n v="5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7"/>
    <n v="61.910714285714285"/>
    <s v="N!"/>
    <n v="2271"/>
    <n v="1196"/>
    <s v="N!"/>
    <n v="41"/>
    <n v="15"/>
    <n v="5"/>
    <n v="4"/>
    <n v="13"/>
    <n v="9"/>
    <n v="5"/>
    <n v="5"/>
    <n v="0"/>
    <n v="0"/>
    <n v="0"/>
    <n v="0"/>
  </r>
  <r>
    <s v="027"/>
    <d v="2013-02-25T00:00:00"/>
    <s v="The Boys N' The Barrels record a new album!"/>
    <s v="The Boys N' The Barrels"/>
    <s v="http://www.kickstarter.com/projects/1020036501/the-boys-n-the-barrels-record-a-new-album?ref=card"/>
    <x v="3"/>
    <s v="Minneapolis, MN"/>
    <s v="MN"/>
    <d v="2013-01-20T00:00:00"/>
    <d v="2013-02-19T00:00:00"/>
    <n v="6489"/>
    <n v="5000"/>
    <n v="70"/>
    <n v="576"/>
    <x v="4"/>
    <n v="10"/>
    <n v="20"/>
    <n v="20"/>
    <n v="40"/>
    <n v="50"/>
    <n v="70"/>
    <n v="100"/>
    <n v="125"/>
    <n v="500"/>
    <n v="1000"/>
    <m/>
    <m/>
    <m/>
    <m/>
    <m/>
    <m/>
    <m/>
    <m/>
    <m/>
    <m/>
    <m/>
    <m/>
    <m/>
    <m/>
    <m/>
    <m/>
    <m/>
    <m/>
    <m/>
    <m/>
    <m/>
    <m/>
    <m/>
    <m/>
    <m/>
    <n v="1"/>
    <n v="9"/>
    <n v="8"/>
    <n v="18"/>
    <n v="13"/>
    <n v="5"/>
    <n v="3"/>
    <n v="2"/>
    <n v="5"/>
    <n v="1"/>
    <n v="3"/>
    <m/>
    <m/>
    <m/>
    <m/>
    <m/>
    <m/>
    <m/>
    <m/>
    <m/>
    <m/>
    <m/>
    <m/>
    <m/>
    <m/>
    <m/>
    <m/>
    <m/>
    <m/>
    <m/>
    <m/>
    <m/>
    <m/>
    <m/>
    <m/>
    <m/>
    <x v="2"/>
    <n v="11"/>
    <n v="11"/>
    <n v="92.7"/>
    <s v="N!"/>
    <n v="5917"/>
    <n v="572"/>
    <s v="N!"/>
    <n v="68"/>
    <n v="2"/>
    <n v="1"/>
    <n v="9"/>
    <n v="26"/>
    <n v="18"/>
    <n v="5"/>
    <n v="5"/>
    <n v="1"/>
    <n v="3"/>
    <n v="0"/>
    <n v="0"/>
  </r>
  <r>
    <s v="028"/>
    <d v="2013-02-27T00:00:00"/>
    <s v="Huron Hills Worship EP - &quot;The Wounds that Bled for Us&quot;"/>
    <s v="Huron Hills"/>
    <s v="http://www.kickstarter.com/projects/17158953/huron-hills-worship-ep-the-wounds-that-bled-for-us?ref=card"/>
    <x v="5"/>
    <s v="Ann Arbor, MI"/>
    <s v="MI"/>
    <d v="2013-01-20T00:00:00"/>
    <d v="2013-02-19T00:00:00"/>
    <n v="8761"/>
    <n v="8000"/>
    <n v="138"/>
    <m/>
    <x v="2"/>
    <n v="25"/>
    <n v="35"/>
    <n v="50"/>
    <n v="75"/>
    <n v="150"/>
    <n v="200"/>
    <n v="300"/>
    <n v="600"/>
    <m/>
    <m/>
    <m/>
    <m/>
    <m/>
    <m/>
    <m/>
    <m/>
    <m/>
    <m/>
    <m/>
    <m/>
    <m/>
    <m/>
    <m/>
    <m/>
    <m/>
    <m/>
    <m/>
    <m/>
    <m/>
    <m/>
    <m/>
    <m/>
    <m/>
    <m/>
    <m/>
    <n v="36"/>
    <n v="46"/>
    <n v="9"/>
    <n v="5"/>
    <n v="19"/>
    <n v="5"/>
    <n v="3"/>
    <n v="2"/>
    <n v="0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8"/>
    <n v="63.485507246376812"/>
    <s v="N!"/>
    <n v="5450"/>
    <n v="3311"/>
    <s v="N!"/>
    <n v="125"/>
    <n v="13"/>
    <n v="0"/>
    <n v="36"/>
    <n v="46"/>
    <n v="14"/>
    <n v="19"/>
    <n v="8"/>
    <n v="2"/>
    <n v="0"/>
    <n v="0"/>
    <n v="0"/>
  </r>
  <r>
    <s v="029"/>
    <d v="2013-02-27T00:00:00"/>
    <s v="The Love Album"/>
    <s v="Reginald Cyntje"/>
    <s v="http://www.kickstarter.com/projects/reginaldcyntje/the-love-album-1?ref=card"/>
    <x v="8"/>
    <s v="Washington, DC"/>
    <s v="DC"/>
    <d v="2012-12-21T00:00:00"/>
    <d v="2013-02-19T00:00:00"/>
    <n v="5578"/>
    <n v="4600"/>
    <n v="85"/>
    <n v="2149"/>
    <x v="2"/>
    <n v="25"/>
    <n v="50"/>
    <n v="75"/>
    <n v="100"/>
    <n v="200"/>
    <n v="300"/>
    <n v="500"/>
    <n v="700"/>
    <n v="1200"/>
    <m/>
    <m/>
    <m/>
    <m/>
    <m/>
    <m/>
    <m/>
    <m/>
    <m/>
    <m/>
    <m/>
    <m/>
    <m/>
    <m/>
    <m/>
    <m/>
    <m/>
    <m/>
    <m/>
    <m/>
    <m/>
    <m/>
    <m/>
    <m/>
    <m/>
    <m/>
    <n v="24"/>
    <n v="18"/>
    <n v="12"/>
    <n v="3"/>
    <n v="9"/>
    <n v="0"/>
    <n v="2"/>
    <n v="1"/>
    <n v="1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8"/>
    <n v="65.623529411764707"/>
    <s v="N!"/>
    <n v="4215"/>
    <n v="1363"/>
    <s v="N!"/>
    <n v="70"/>
    <n v="15"/>
    <n v="0"/>
    <n v="24"/>
    <n v="18"/>
    <n v="12"/>
    <n v="12"/>
    <n v="0"/>
    <n v="3"/>
    <n v="1"/>
    <n v="0"/>
    <n v="0"/>
  </r>
  <r>
    <s v="030"/>
    <d v="2013-02-27T00:00:00"/>
    <s v="Deus Sunday Mass Fundraiser BBQ for SXSW Tour 2.17.13"/>
    <s v="John Wayne Bro Band"/>
    <s v="http://www.kickstarter.com/projects/jwb/deus-sunday-mass-fundraiser-bbq-for-sxsw-tour-2171?ref=card"/>
    <x v="1"/>
    <s v="Venice, CA"/>
    <s v="CA"/>
    <d v="2013-02-12T00:00:00"/>
    <d v="2013-02-19T00:00:00"/>
    <n v="370"/>
    <n v="100"/>
    <n v="7"/>
    <m/>
    <x v="1"/>
    <n v="10"/>
    <n v="3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0"/>
    <n v="6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3"/>
    <n v="2"/>
    <n v="52.857142857142854"/>
    <s v="N!"/>
    <n v="185"/>
    <n v="185"/>
    <s v="OK!"/>
    <n v="7"/>
    <n v="0"/>
    <n v="1"/>
    <n v="0"/>
    <n v="0"/>
    <n v="6"/>
    <n v="0"/>
    <n v="0"/>
    <n v="0"/>
    <n v="0"/>
    <n v="0"/>
    <n v="0"/>
  </r>
  <r>
    <s v="031"/>
    <d v="2013-02-27T00:00:00"/>
    <s v="Heliotropes North American Tour 2013!"/>
    <s v="Heliotropes"/>
    <s v="http://www.kickstarter.com/projects/heliotropes/heliotropes-north-american-tour-2013?ref=card"/>
    <x v="6"/>
    <s v="Brooklyn, NY"/>
    <s v="NY"/>
    <d v="2013-02-06T00:00:00"/>
    <d v="2013-02-19T00:00:00"/>
    <n v="5260"/>
    <n v="5000"/>
    <n v="74"/>
    <m/>
    <x v="0"/>
    <n v="25"/>
    <n v="50"/>
    <n v="100"/>
    <n v="200"/>
    <n v="30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n v="7"/>
    <n v="22"/>
    <n v="21"/>
    <n v="8"/>
    <n v="3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7"/>
    <n v="7"/>
    <n v="71.081081081081081"/>
    <s v="N!"/>
    <n v="3407"/>
    <n v="1853"/>
    <s v="N!"/>
    <n v="63"/>
    <n v="11"/>
    <n v="7"/>
    <n v="0"/>
    <n v="22"/>
    <n v="21"/>
    <n v="9"/>
    <n v="3"/>
    <n v="1"/>
    <n v="0"/>
    <n v="0"/>
    <n v="0"/>
  </r>
  <r>
    <s v="032"/>
    <d v="2013-02-27T00:00:00"/>
    <s v="La Traviata MAX Live!"/>
    <s v="Hubbard Hall Opera Theater"/>
    <s v="http://www.kickstarter.com/projects/1786698809/la-traviata-max-live?ref=card"/>
    <x v="0"/>
    <s v="Schenectady, NY"/>
    <s v="NY"/>
    <d v="2013-01-24T00:00:00"/>
    <d v="2013-02-18T00:00:00"/>
    <n v="1875"/>
    <n v="1000"/>
    <n v="45"/>
    <n v="1160"/>
    <x v="0"/>
    <n v="10"/>
    <n v="25"/>
    <n v="50"/>
    <n v="100"/>
    <n v="300"/>
    <n v="500"/>
    <n v="750"/>
    <n v="1000"/>
    <m/>
    <m/>
    <m/>
    <m/>
    <m/>
    <m/>
    <m/>
    <m/>
    <m/>
    <m/>
    <m/>
    <m/>
    <m/>
    <m/>
    <m/>
    <m/>
    <m/>
    <m/>
    <m/>
    <m/>
    <m/>
    <m/>
    <m/>
    <m/>
    <m/>
    <m/>
    <m/>
    <n v="4"/>
    <n v="9"/>
    <n v="14"/>
    <n v="5"/>
    <n v="7"/>
    <n v="0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5"/>
    <n v="41.666666666666664"/>
    <s v="N!"/>
    <n v="1394"/>
    <n v="481"/>
    <s v="N!"/>
    <n v="39"/>
    <n v="6"/>
    <n v="4"/>
    <n v="9"/>
    <n v="14"/>
    <n v="5"/>
    <n v="7"/>
    <n v="0"/>
    <n v="0"/>
    <n v="0"/>
    <n v="0"/>
    <n v="0"/>
  </r>
  <r>
    <s v="033"/>
    <d v="2013-02-27T00:00:00"/>
    <s v="The Evening Guests EP"/>
    <s v="The Evening Guests"/>
    <s v="http://www.kickstarter.com/projects/1466422789/the-evening-guests-ep?ref=card"/>
    <x v="6"/>
    <s v="Los Angeles, CA"/>
    <s v="CA"/>
    <d v="2013-01-18T00:00:00"/>
    <d v="2013-02-18T00:00:00"/>
    <n v="3684"/>
    <n v="3000"/>
    <n v="56"/>
    <m/>
    <x v="0"/>
    <n v="10"/>
    <n v="20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m/>
    <n v="0"/>
    <n v="15"/>
    <n v="18"/>
    <n v="6"/>
    <n v="5"/>
    <n v="0"/>
    <n v="0"/>
    <n v="1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5"/>
    <n v="65.785714285714292"/>
    <s v="N!"/>
    <n v="2310"/>
    <n v="1374"/>
    <s v="N!"/>
    <n v="45"/>
    <n v="11"/>
    <n v="0"/>
    <n v="15"/>
    <n v="18"/>
    <n v="6"/>
    <n v="5"/>
    <n v="0"/>
    <n v="0"/>
    <n v="1"/>
    <n v="0"/>
    <n v="0"/>
  </r>
  <r>
    <s v="034"/>
    <d v="2013-02-27T00:00:00"/>
    <s v="Same Sex Mary presents &quot;Sex Cells&quot;"/>
    <s v="Tsvetelina"/>
    <s v="http://www.kickstarter.com/projects/2003760057/same-sex-mary-presents-sex-cells?ref=card"/>
    <x v="6"/>
    <s v="Las Vegas, NV"/>
    <s v="NV"/>
    <d v="2013-01-23T00:00:00"/>
    <d v="2013-02-18T00:00:00"/>
    <n v="4500"/>
    <n v="3800"/>
    <n v="132"/>
    <n v="832"/>
    <x v="0"/>
    <n v="10"/>
    <n v="15"/>
    <n v="20"/>
    <n v="25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n v="1"/>
    <n v="26"/>
    <n v="20"/>
    <n v="18"/>
    <n v="46"/>
    <n v="10"/>
    <n v="5"/>
    <n v="1"/>
    <n v="1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9"/>
    <n v="34.090909090909093"/>
    <s v="N!"/>
    <n v="3821"/>
    <n v="679"/>
    <s v="N!"/>
    <n v="128"/>
    <n v="4"/>
    <n v="1"/>
    <n v="26"/>
    <n v="84"/>
    <n v="10"/>
    <n v="5"/>
    <n v="1"/>
    <n v="1"/>
    <n v="0"/>
    <n v="0"/>
    <n v="0"/>
  </r>
  <r>
    <s v="035"/>
    <d v="2013-02-27T00:00:00"/>
    <s v="Shane Howard Band 4th CD &quot;Rattlesnake Road&quot;"/>
    <s v="Shane Howard"/>
    <s v="http://www.kickstarter.com/projects/shanehoward/shane-howard-band-4th-cd-rattlesnake-road?ref=card"/>
    <x v="3"/>
    <s v="Riesel, TX"/>
    <s v="TX"/>
    <d v="2013-01-24T00:00:00"/>
    <d v="2013-02-18T00:00:00"/>
    <n v="2335"/>
    <n v="2000"/>
    <n v="33"/>
    <n v="3517"/>
    <x v="1"/>
    <n v="15"/>
    <n v="25"/>
    <n v="35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n v="2"/>
    <n v="9"/>
    <n v="5"/>
    <n v="4"/>
    <n v="7"/>
    <n v="2"/>
    <n v="1"/>
    <n v="0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8"/>
    <n v="70.757575757575751"/>
    <s v="N!"/>
    <n v="2210"/>
    <n v="125"/>
    <s v="N!"/>
    <n v="31"/>
    <n v="2"/>
    <n v="2"/>
    <n v="0"/>
    <n v="14"/>
    <n v="11"/>
    <n v="2"/>
    <n v="1"/>
    <n v="0"/>
    <n v="1"/>
    <n v="0"/>
    <n v="0"/>
  </r>
  <r>
    <s v="036"/>
    <d v="2013-02-27T00:00:00"/>
    <s v="Acoustic Sessions Club"/>
    <s v="Sam Grow"/>
    <s v="http://www.kickstarter.com/projects/181573521/acoustic-sessions-club?ref=card"/>
    <x v="5"/>
    <s v="Mechanicsville, MD"/>
    <s v="MD"/>
    <d v="2013-02-08T00:00:00"/>
    <d v="2013-02-18T00:00:00"/>
    <n v="7675"/>
    <n v="7500"/>
    <n v="205"/>
    <n v="3644"/>
    <x v="5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03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1"/>
    <n v="1"/>
    <n v="37.439024390243901"/>
    <s v="N!"/>
    <n v="5075"/>
    <n v="2600"/>
    <s v="N!"/>
    <n v="203"/>
    <n v="2"/>
    <n v="0"/>
    <n v="0"/>
    <n v="203"/>
    <n v="0"/>
    <n v="0"/>
    <n v="0"/>
    <n v="0"/>
    <n v="0"/>
    <n v="0"/>
    <n v="0"/>
  </r>
  <r>
    <s v="037"/>
    <d v="2013-02-27T00:00:00"/>
    <s v="Tracksploitation Across The Nation"/>
    <s v="Tracksploitation"/>
    <s v="http://www.kickstarter.com/projects/1886567238/tracksploitation-across-the-nation?ref=card"/>
    <x v="5"/>
    <s v="Pittsburgh, PA"/>
    <s v="PA"/>
    <d v="2013-01-19T00:00:00"/>
    <d v="2013-02-18T00:00:00"/>
    <n v="7088"/>
    <n v="7000"/>
    <n v="69"/>
    <m/>
    <x v="0"/>
    <n v="3"/>
    <n v="10"/>
    <n v="15"/>
    <n v="25"/>
    <n v="50"/>
    <n v="100"/>
    <n v="200"/>
    <n v="250"/>
    <n v="500"/>
    <n v="750"/>
    <n v="1000"/>
    <n v="2500"/>
    <m/>
    <m/>
    <m/>
    <m/>
    <m/>
    <m/>
    <m/>
    <m/>
    <m/>
    <m/>
    <m/>
    <m/>
    <m/>
    <m/>
    <m/>
    <m/>
    <m/>
    <m/>
    <m/>
    <m/>
    <m/>
    <m/>
    <m/>
    <n v="2"/>
    <n v="3"/>
    <n v="6"/>
    <n v="6"/>
    <n v="33"/>
    <n v="4"/>
    <n v="2"/>
    <n v="1"/>
    <n v="0"/>
    <n v="1"/>
    <n v="1"/>
    <n v="0"/>
    <n v="0"/>
    <m/>
    <m/>
    <m/>
    <m/>
    <m/>
    <m/>
    <m/>
    <m/>
    <m/>
    <m/>
    <m/>
    <m/>
    <m/>
    <m/>
    <m/>
    <m/>
    <m/>
    <m/>
    <m/>
    <m/>
    <m/>
    <m/>
    <m/>
    <x v="2"/>
    <n v="13"/>
    <n v="10"/>
    <n v="102.72463768115942"/>
    <s v="N!"/>
    <n v="2836"/>
    <n v="4252"/>
    <s v="N!"/>
    <n v="59"/>
    <n v="10"/>
    <n v="5"/>
    <n v="6"/>
    <n v="39"/>
    <n v="4"/>
    <n v="2"/>
    <n v="1"/>
    <n v="1"/>
    <n v="1"/>
    <n v="0"/>
    <n v="0"/>
  </r>
  <r>
    <s v="038"/>
    <d v="2013-02-27T00:00:00"/>
    <s v="Dylan Lucas and the Dreamsaws Full Length Album"/>
    <s v="Dylan Lucas Block-Harley"/>
    <s v="http://www.kickstarter.com/projects/465188796/dylan-lucas-and-the-dreamsaws-full-length-album?ref=card"/>
    <x v="3"/>
    <s v="Providence, RI"/>
    <s v="RI"/>
    <d v="2013-01-19T00:00:00"/>
    <d v="2013-02-18T00:00:00"/>
    <n v="7550"/>
    <n v="5000"/>
    <n v="145"/>
    <n v="623"/>
    <x v="0"/>
    <n v="10"/>
    <n v="15"/>
    <n v="25"/>
    <n v="50"/>
    <n v="100"/>
    <n v="250"/>
    <n v="500"/>
    <n v="1000"/>
    <n v="2500"/>
    <m/>
    <m/>
    <m/>
    <m/>
    <m/>
    <m/>
    <m/>
    <m/>
    <m/>
    <m/>
    <m/>
    <m/>
    <m/>
    <m/>
    <m/>
    <m/>
    <m/>
    <m/>
    <m/>
    <m/>
    <m/>
    <m/>
    <m/>
    <m/>
    <m/>
    <m/>
    <n v="3"/>
    <n v="31"/>
    <n v="22"/>
    <n v="47"/>
    <n v="11"/>
    <n v="14"/>
    <n v="4"/>
    <n v="3"/>
    <n v="0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8"/>
    <n v="52.068965517241381"/>
    <s v="N!"/>
    <n v="6268"/>
    <n v="1282"/>
    <s v="N!"/>
    <n v="135"/>
    <n v="10"/>
    <n v="3"/>
    <n v="31"/>
    <n v="69"/>
    <n v="11"/>
    <n v="14"/>
    <n v="4"/>
    <n v="3"/>
    <n v="0"/>
    <n v="0"/>
    <n v="0"/>
  </r>
  <r>
    <s v="039"/>
    <d v="2013-02-27T00:00:00"/>
    <s v="Continuing to make new Trails"/>
    <s v="Trails"/>
    <s v="http://www.kickstarter.com/projects/294844962/continuing-to-make-new-trails?ref=card"/>
    <x v="2"/>
    <s v="Portland, ME"/>
    <s v="ME"/>
    <d v="2013-01-19T00:00:00"/>
    <d v="2013-02-18T00:00:00"/>
    <n v="4000"/>
    <n v="3500"/>
    <n v="94"/>
    <n v="446"/>
    <x v="0"/>
    <n v="10"/>
    <n v="20"/>
    <n v="5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15"/>
    <n v="23"/>
    <n v="18"/>
    <n v="13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5"/>
    <n v="42.553191489361701"/>
    <s v="N!"/>
    <n v="2813"/>
    <n v="1187"/>
    <s v="N!"/>
    <n v="72"/>
    <n v="22"/>
    <n v="3"/>
    <n v="15"/>
    <n v="23"/>
    <n v="18"/>
    <n v="13"/>
    <n v="0"/>
    <n v="0"/>
    <n v="0"/>
    <n v="0"/>
    <n v="0"/>
  </r>
  <r>
    <s v="040"/>
    <d v="2013-02-27T00:00:00"/>
    <s v="Bringing &quot;Faults &amp; Fractures&quot; to life!"/>
    <s v="The Black Market Club"/>
    <s v="http://www.kickstarter.com/projects/theblackmarketclub/bringing-faults-and-fractures-to-life?ref=card"/>
    <x v="1"/>
    <s v="San Antonio, TX"/>
    <s v="TX"/>
    <d v="2013-01-01T00:00:00"/>
    <d v="2013-02-18T00:00:00"/>
    <n v="1439"/>
    <n v="1200"/>
    <n v="21"/>
    <m/>
    <x v="0"/>
    <n v="3"/>
    <n v="5"/>
    <n v="12"/>
    <n v="25"/>
    <n v="50"/>
    <n v="100"/>
    <n v="200"/>
    <m/>
    <m/>
    <m/>
    <m/>
    <m/>
    <m/>
    <m/>
    <m/>
    <m/>
    <m/>
    <m/>
    <m/>
    <m/>
    <m/>
    <m/>
    <m/>
    <m/>
    <m/>
    <m/>
    <m/>
    <m/>
    <m/>
    <m/>
    <m/>
    <m/>
    <m/>
    <m/>
    <m/>
    <n v="0"/>
    <n v="0"/>
    <n v="0"/>
    <n v="3"/>
    <n v="6"/>
    <n v="4"/>
    <n v="4"/>
    <n v="3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5"/>
    <n v="68.523809523809518"/>
    <s v="N!"/>
    <n v="1386"/>
    <n v="53"/>
    <s v="N!"/>
    <n v="20"/>
    <n v="1"/>
    <n v="0"/>
    <n v="0"/>
    <n v="9"/>
    <n v="4"/>
    <n v="4"/>
    <n v="3"/>
    <n v="0"/>
    <n v="0"/>
    <n v="0"/>
    <n v="0"/>
  </r>
  <r>
    <s v="041"/>
    <d v="2013-02-27T00:00:00"/>
    <s v="HELP UFN PRINT THEIR NEW RECORD ONTO VINYL!"/>
    <s v="Justin Conigliaro"/>
    <s v="http://www.kickstarter.com/projects/1094585571/help-ufn-print-their-new-record-onto-vinyl?ref=card"/>
    <x v="1"/>
    <s v="Brooklyn, NY"/>
    <s v="NY"/>
    <d v="2013-01-19T00:00:00"/>
    <d v="2013-02-18T00:00:00"/>
    <n v="995"/>
    <n v="700"/>
    <n v="27"/>
    <m/>
    <x v="0"/>
    <n v="15"/>
    <n v="25"/>
    <n v="50"/>
    <n v="100"/>
    <n v="1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"/>
    <n v="3"/>
    <n v="9"/>
    <n v="3"/>
    <n v="0"/>
    <n v="2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6"/>
    <n v="5"/>
    <n v="36.851851851851855"/>
    <s v="N!"/>
    <n v="722"/>
    <n v="273"/>
    <s v="N!"/>
    <n v="19"/>
    <n v="8"/>
    <n v="2"/>
    <n v="0"/>
    <n v="12"/>
    <n v="3"/>
    <n v="0"/>
    <n v="2"/>
    <n v="0"/>
    <n v="0"/>
    <n v="0"/>
    <n v="0"/>
  </r>
  <r>
    <s v="042"/>
    <d v="2013-02-27T00:00:00"/>
    <s v="J Ray: Some People - Prevent a Robot from Destroying Us"/>
    <s v="J Ray"/>
    <s v="http://www.kickstarter.com/projects/thatjray/j-ray-some-people-prevent-a-robot-from-destroying?ref=card"/>
    <x v="1"/>
    <s v="Austin, TX"/>
    <s v="TX"/>
    <d v="2013-01-29T00:00:00"/>
    <d v="2013-02-18T00:00:00"/>
    <n v="2056"/>
    <n v="2046"/>
    <n v="24"/>
    <n v="290"/>
    <x v="0"/>
    <n v="10"/>
    <n v="15"/>
    <n v="15"/>
    <n v="20"/>
    <n v="30"/>
    <n v="40"/>
    <n v="45"/>
    <n v="55"/>
    <n v="100"/>
    <n v="150"/>
    <n v="500"/>
    <n v="2046"/>
    <m/>
    <m/>
    <m/>
    <m/>
    <m/>
    <m/>
    <m/>
    <m/>
    <m/>
    <m/>
    <m/>
    <m/>
    <m/>
    <m/>
    <m/>
    <m/>
    <m/>
    <m/>
    <m/>
    <m/>
    <m/>
    <m/>
    <m/>
    <n v="1"/>
    <n v="3"/>
    <n v="1"/>
    <n v="0"/>
    <n v="6"/>
    <n v="3"/>
    <n v="1"/>
    <n v="0"/>
    <n v="1"/>
    <n v="2"/>
    <n v="0"/>
    <n v="0"/>
    <n v="0"/>
    <m/>
    <m/>
    <m/>
    <m/>
    <m/>
    <m/>
    <m/>
    <m/>
    <m/>
    <m/>
    <m/>
    <m/>
    <m/>
    <m/>
    <m/>
    <m/>
    <m/>
    <m/>
    <m/>
    <m/>
    <m/>
    <m/>
    <m/>
    <x v="2"/>
    <n v="13"/>
    <n v="8"/>
    <n v="85.666666666666671"/>
    <s v="N!"/>
    <n v="551"/>
    <n v="1505"/>
    <s v="N!"/>
    <n v="18"/>
    <n v="6"/>
    <n v="1"/>
    <n v="3"/>
    <n v="7"/>
    <n v="4"/>
    <n v="3"/>
    <n v="0"/>
    <n v="0"/>
    <n v="0"/>
    <n v="0"/>
    <n v="0"/>
  </r>
  <r>
    <s v="043"/>
    <d v="2013-02-27T00:00:00"/>
    <s v="Last hump to get over for Controller's debut album Undefined"/>
    <s v="Controller"/>
    <s v="http://www.kickstarter.com/projects/controller33/last-hump-to-get-over-for-controllers-debut-album?ref=card"/>
    <x v="1"/>
    <s v="Fort Wayne, IN"/>
    <s v="IN"/>
    <d v="2013-01-19T00:00:00"/>
    <d v="2013-02-18T00:00:00"/>
    <n v="656"/>
    <n v="500"/>
    <n v="14"/>
    <m/>
    <x v="0"/>
    <n v="5"/>
    <n v="20"/>
    <n v="50"/>
    <n v="75"/>
    <n v="100"/>
    <n v="150"/>
    <n v="175"/>
    <n v="200"/>
    <n v="450"/>
    <m/>
    <m/>
    <m/>
    <m/>
    <m/>
    <m/>
    <m/>
    <m/>
    <m/>
    <m/>
    <m/>
    <m/>
    <m/>
    <m/>
    <m/>
    <m/>
    <m/>
    <m/>
    <m/>
    <m/>
    <m/>
    <m/>
    <m/>
    <m/>
    <m/>
    <m/>
    <n v="1"/>
    <n v="0"/>
    <n v="4"/>
    <n v="6"/>
    <n v="0"/>
    <n v="2"/>
    <n v="0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x v="0"/>
    <n v="10"/>
    <n v="4"/>
    <n v="46.857142857142854"/>
    <s v="N!"/>
    <n v="581"/>
    <n v="75"/>
    <s v="N!"/>
    <n v="13"/>
    <n v="1"/>
    <n v="1"/>
    <n v="0"/>
    <n v="4"/>
    <n v="6"/>
    <n v="2"/>
    <n v="0"/>
    <n v="0"/>
    <n v="0"/>
    <n v="0"/>
    <n v="0"/>
  </r>
  <r>
    <s v="044"/>
    <d v="2013-02-27T00:00:00"/>
    <s v="Cincinnati Chamber Opera Presents: Acis and Galatea"/>
    <s v="Cincinnati Chamber Opera"/>
    <s v="http://www.kickstarter.com/projects/cincichamberopera/cincinnati-chamber-opera-presents-acis-and-galatea?ref=card"/>
    <x v="0"/>
    <s v="Cincinnati, OH"/>
    <s v="OH"/>
    <d v="2013-01-23T00:00:00"/>
    <d v="2013-02-17T00:00:00"/>
    <n v="3021"/>
    <n v="3000"/>
    <n v="34"/>
    <n v="1102"/>
    <x v="2"/>
    <n v="30"/>
    <n v="50"/>
    <n v="75"/>
    <n v="100"/>
    <n v="25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n v="11"/>
    <n v="5"/>
    <n v="8"/>
    <n v="0"/>
    <n v="1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7"/>
    <n v="6"/>
    <n v="88.852941176470594"/>
    <s v="N!"/>
    <n v="1510"/>
    <n v="1511"/>
    <s v="N!"/>
    <n v="27"/>
    <n v="7"/>
    <n v="0"/>
    <n v="11"/>
    <n v="0"/>
    <n v="13"/>
    <n v="1"/>
    <n v="1"/>
    <n v="1"/>
    <n v="0"/>
    <n v="0"/>
    <n v="0"/>
  </r>
  <r>
    <s v="045"/>
    <d v="2013-02-27T00:00:00"/>
    <s v="Songs of Strength: A Cross-Cultural Musical Exploration"/>
    <s v="Anthony Iannone"/>
    <s v="http://www.kickstarter.com/projects/579603485/songs-of-strength-a-cross-cultural-musical-explora?ref=card"/>
    <x v="5"/>
    <s v="Oswego, NY"/>
    <s v="NY"/>
    <d v="2013-01-17T00:00:00"/>
    <d v="2013-02-17T00:00:00"/>
    <n v="2611"/>
    <n v="2500"/>
    <n v="29"/>
    <n v="1036"/>
    <x v="1"/>
    <n v="10"/>
    <n v="15"/>
    <n v="25"/>
    <n v="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1"/>
    <n v="1"/>
    <n v="4"/>
    <n v="1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5"/>
    <n v="5"/>
    <n v="90.034482758620683"/>
    <s v="N!"/>
    <n v="690"/>
    <n v="1921"/>
    <s v="N!"/>
    <n v="20"/>
    <n v="9"/>
    <n v="3"/>
    <n v="1"/>
    <n v="5"/>
    <n v="11"/>
    <n v="0"/>
    <n v="0"/>
    <n v="0"/>
    <n v="0"/>
    <n v="0"/>
    <n v="0"/>
  </r>
  <r>
    <s v="046"/>
    <d v="2013-02-27T00:00:00"/>
    <s v="High School Nation/Tilly's Present: Brand New Life Tour"/>
    <s v="Life After Liftoff"/>
    <s v="http://www.kickstarter.com/projects/lifeafterliftoff/high-school-nation-tillys-present-brand-new-life-2?ref=card"/>
    <x v="5"/>
    <s v="Dayton, OH"/>
    <s v="OH"/>
    <d v="2013-01-17T00:00:00"/>
    <d v="2013-02-17T00:00:00"/>
    <n v="1612"/>
    <n v="1500"/>
    <n v="20"/>
    <n v="1677"/>
    <x v="0"/>
    <n v="5"/>
    <n v="10"/>
    <n v="15"/>
    <n v="25"/>
    <n v="30"/>
    <n v="50"/>
    <n v="50"/>
    <n v="75"/>
    <n v="75"/>
    <n v="100"/>
    <n v="125"/>
    <n v="150"/>
    <n v="200"/>
    <n v="300"/>
    <n v="350"/>
    <n v="400"/>
    <n v="500"/>
    <n v="750"/>
    <n v="1000"/>
    <n v="2000"/>
    <n v="10000"/>
    <m/>
    <m/>
    <m/>
    <m/>
    <m/>
    <m/>
    <m/>
    <m/>
    <m/>
    <m/>
    <m/>
    <m/>
    <m/>
    <m/>
    <n v="1"/>
    <n v="0"/>
    <n v="1"/>
    <n v="2"/>
    <n v="1"/>
    <n v="3"/>
    <n v="0"/>
    <n v="5"/>
    <n v="0"/>
    <n v="0"/>
    <n v="1"/>
    <n v="1"/>
    <n v="0"/>
    <n v="0"/>
    <n v="1"/>
    <n v="0"/>
    <n v="0"/>
    <n v="1"/>
    <n v="0"/>
    <n v="0"/>
    <n v="0"/>
    <n v="0"/>
    <m/>
    <m/>
    <m/>
    <m/>
    <m/>
    <m/>
    <m/>
    <m/>
    <m/>
    <m/>
    <m/>
    <m/>
    <m/>
    <m/>
    <x v="2"/>
    <n v="22"/>
    <n v="10"/>
    <n v="80.599999999999994"/>
    <s v="N!"/>
    <n v="631"/>
    <n v="981"/>
    <s v="N!"/>
    <n v="17"/>
    <n v="3"/>
    <n v="1"/>
    <n v="1"/>
    <n v="3"/>
    <n v="8"/>
    <n v="1"/>
    <n v="1"/>
    <n v="2"/>
    <n v="0"/>
    <n v="0"/>
    <n v="0"/>
  </r>
  <r>
    <s v="047"/>
    <d v="2013-02-27T00:00:00"/>
    <s v="&quot;Up the Ante&quot;, the newest treasure from Musical Blades"/>
    <s v="Musical Blades"/>
    <s v="http://www.kickstarter.com/projects/686280585/up-the-ante-the-newest-treasure-from-musical-blade?ref=card"/>
    <x v="9"/>
    <s v="Kansas City, KS"/>
    <s v="KS"/>
    <d v="2013-01-18T00:00:00"/>
    <d v="2013-02-17T00:00:00"/>
    <n v="4650"/>
    <n v="3000"/>
    <n v="93"/>
    <n v="3471"/>
    <x v="1"/>
    <n v="15"/>
    <n v="30"/>
    <n v="5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35"/>
    <n v="20"/>
    <n v="22"/>
    <n v="13"/>
    <n v="2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6"/>
    <n v="50"/>
    <s v="N!"/>
    <n v="4530"/>
    <n v="120"/>
    <s v="OK!"/>
    <n v="93"/>
    <n v="0"/>
    <n v="1"/>
    <n v="0"/>
    <n v="35"/>
    <n v="42"/>
    <n v="13"/>
    <n v="0"/>
    <n v="2"/>
    <n v="0"/>
    <n v="0"/>
    <n v="0"/>
  </r>
  <r>
    <s v="048"/>
    <d v="2013-02-27T00:00:00"/>
    <s v="Brass Hysteria!'s new album!"/>
    <s v="Brass Hysteria!"/>
    <s v="http://www.kickstarter.com/projects/brasshysteria/brass-hysterias-new-album?ref=card"/>
    <x v="1"/>
    <s v="Chico, CA"/>
    <s v="CA"/>
    <d v="2013-01-18T00:00:00"/>
    <d v="2013-02-17T00:00:00"/>
    <n v="2319"/>
    <n v="2000"/>
    <n v="36"/>
    <n v="1904"/>
    <x v="1"/>
    <n v="10"/>
    <n v="15"/>
    <n v="20"/>
    <n v="30"/>
    <n v="50"/>
    <n v="60"/>
    <n v="100"/>
    <n v="150"/>
    <n v="300"/>
    <n v="500"/>
    <m/>
    <m/>
    <m/>
    <m/>
    <m/>
    <m/>
    <m/>
    <m/>
    <m/>
    <m/>
    <m/>
    <m/>
    <m/>
    <m/>
    <m/>
    <m/>
    <m/>
    <m/>
    <m/>
    <m/>
    <m/>
    <m/>
    <m/>
    <m/>
    <m/>
    <n v="1"/>
    <n v="3"/>
    <n v="9"/>
    <n v="6"/>
    <n v="2"/>
    <n v="4"/>
    <n v="7"/>
    <n v="0"/>
    <n v="0"/>
    <n v="1"/>
    <n v="1"/>
    <m/>
    <m/>
    <m/>
    <m/>
    <m/>
    <m/>
    <m/>
    <m/>
    <m/>
    <m/>
    <m/>
    <m/>
    <m/>
    <m/>
    <m/>
    <m/>
    <m/>
    <m/>
    <m/>
    <m/>
    <m/>
    <m/>
    <m/>
    <m/>
    <m/>
    <x v="2"/>
    <n v="11"/>
    <n v="9"/>
    <n v="64.416666666666671"/>
    <s v="N!"/>
    <n v="1770"/>
    <n v="549"/>
    <s v="N!"/>
    <n v="34"/>
    <n v="2"/>
    <n v="1"/>
    <n v="3"/>
    <n v="15"/>
    <n v="6"/>
    <n v="7"/>
    <n v="0"/>
    <n v="2"/>
    <n v="0"/>
    <n v="0"/>
    <n v="0"/>
  </r>
  <r>
    <s v="049"/>
    <d v="2013-02-27T00:00:00"/>
    <s v="Help me record/promo my EP and be among the first to get it!"/>
    <s v="Chantry"/>
    <s v="http://www.kickstarter.com/projects/2131863717/help-me-record-promo-my-ep-and-be-among-the-first?ref=card"/>
    <x v="4"/>
    <s v="Los Angeles, CA"/>
    <s v="CA"/>
    <d v="2013-01-18T00:00:00"/>
    <d v="2013-02-17T00:00:00"/>
    <n v="3015"/>
    <n v="1000"/>
    <n v="104"/>
    <m/>
    <x v="0"/>
    <n v="2"/>
    <n v="5"/>
    <n v="10"/>
    <n v="20"/>
    <n v="5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2"/>
    <n v="31"/>
    <n v="15"/>
    <n v="36"/>
    <n v="3"/>
    <n v="10"/>
    <n v="1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8"/>
    <n v="28.990384615384617"/>
    <s v="N!"/>
    <n v="2682"/>
    <n v="333"/>
    <s v="N!"/>
    <n v="101"/>
    <n v="3"/>
    <n v="36"/>
    <n v="15"/>
    <n v="36"/>
    <n v="3"/>
    <n v="10"/>
    <n v="0"/>
    <n v="1"/>
    <n v="0"/>
    <n v="0"/>
    <n v="0"/>
  </r>
  <r>
    <s v="050"/>
    <d v="2013-02-28T00:00:00"/>
    <s v="Producing New Album: &quot;Murder Your Darlings&quot;"/>
    <s v="Alexis Pastuhov"/>
    <s v="http://www.kickstarter.com/projects/1896682753/producing-new-album-murder-your-darlings?ref=card"/>
    <x v="6"/>
    <s v="Fort Collins, CO"/>
    <s v="CO"/>
    <d v="2013-01-18T00:00:00"/>
    <d v="2013-02-17T00:00:00"/>
    <n v="3355"/>
    <n v="3000"/>
    <n v="64"/>
    <n v="441"/>
    <x v="6"/>
    <n v="30"/>
    <n v="4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7"/>
    <n v="12"/>
    <n v="18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4"/>
    <n v="4"/>
    <n v="52.421875"/>
    <s v="N!"/>
    <n v="1435"/>
    <n v="1920"/>
    <s v="N!"/>
    <n v="48"/>
    <n v="16"/>
    <n v="0"/>
    <n v="0"/>
    <n v="17"/>
    <n v="30"/>
    <n v="1"/>
    <n v="0"/>
    <n v="0"/>
    <n v="0"/>
    <n v="0"/>
    <n v="0"/>
  </r>
  <r>
    <s v="051"/>
    <d v="2013-02-28T00:00:00"/>
    <s v="Lisa Lewis is recording her first full length album!"/>
    <s v="Lisa Lewis"/>
    <s v="http://www.kickstarter.com/projects/lisalewis/lisa-lewis-is-recording-her-first-full-length-albu?ref=card"/>
    <x v="5"/>
    <s v="Lancaster, PA"/>
    <s v="PA"/>
    <d v="2013-01-18T00:00:00"/>
    <d v="2013-02-17T00:00:00"/>
    <n v="6127"/>
    <n v="6000"/>
    <n v="97"/>
    <n v="340"/>
    <x v="0"/>
    <n v="10"/>
    <n v="15"/>
    <n v="25"/>
    <n v="40"/>
    <n v="55"/>
    <n v="75"/>
    <n v="100"/>
    <n v="150"/>
    <n v="250"/>
    <n v="500"/>
    <n v="1000"/>
    <m/>
    <m/>
    <m/>
    <m/>
    <m/>
    <m/>
    <m/>
    <m/>
    <m/>
    <m/>
    <m/>
    <m/>
    <m/>
    <m/>
    <m/>
    <m/>
    <m/>
    <m/>
    <m/>
    <m/>
    <m/>
    <m/>
    <m/>
    <m/>
    <n v="3"/>
    <n v="17"/>
    <n v="13"/>
    <n v="16"/>
    <n v="6"/>
    <n v="14"/>
    <n v="5"/>
    <n v="14"/>
    <n v="2"/>
    <n v="1"/>
    <n v="1"/>
    <n v="1"/>
    <m/>
    <m/>
    <m/>
    <m/>
    <m/>
    <m/>
    <m/>
    <m/>
    <m/>
    <m/>
    <m/>
    <m/>
    <m/>
    <m/>
    <m/>
    <m/>
    <m/>
    <m/>
    <m/>
    <m/>
    <m/>
    <m/>
    <m/>
    <m/>
    <x v="2"/>
    <n v="12"/>
    <n v="12"/>
    <n v="63.164948453608247"/>
    <s v="N!"/>
    <n v="5603"/>
    <n v="524"/>
    <s v="N!"/>
    <n v="93"/>
    <n v="4"/>
    <n v="3"/>
    <n v="17"/>
    <n v="29"/>
    <n v="6"/>
    <n v="33"/>
    <n v="3"/>
    <n v="1"/>
    <n v="1"/>
    <n v="0"/>
    <n v="0"/>
  </r>
  <r>
    <s v="052"/>
    <d v="2013-02-28T00:00:00"/>
    <s v="Jetman Jet Team's Debut Album Mastering"/>
    <s v="Brenan Chambers"/>
    <s v="http://www.kickstarter.com/projects/1359814945/jetman-jet-teams-debut-album-mastering?ref=card"/>
    <x v="6"/>
    <s v="Seattle, WA"/>
    <s v="WA"/>
    <d v="2013-01-18T00:00:00"/>
    <d v="2013-02-17T00:00:00"/>
    <n v="2002"/>
    <n v="1600"/>
    <n v="31"/>
    <n v="183"/>
    <x v="2"/>
    <n v="15"/>
    <n v="20"/>
    <n v="25"/>
    <n v="30"/>
    <n v="30"/>
    <n v="35"/>
    <n v="40"/>
    <n v="50"/>
    <n v="60"/>
    <n v="100"/>
    <n v="145"/>
    <n v="250"/>
    <m/>
    <m/>
    <m/>
    <m/>
    <m/>
    <m/>
    <m/>
    <m/>
    <m/>
    <m/>
    <m/>
    <m/>
    <m/>
    <m/>
    <m/>
    <m/>
    <m/>
    <m/>
    <m/>
    <m/>
    <m/>
    <m/>
    <m/>
    <n v="4"/>
    <n v="3"/>
    <n v="9"/>
    <n v="0"/>
    <n v="4"/>
    <n v="1"/>
    <n v="0"/>
    <n v="1"/>
    <n v="3"/>
    <n v="0"/>
    <n v="1"/>
    <n v="0"/>
    <n v="3"/>
    <m/>
    <m/>
    <m/>
    <m/>
    <m/>
    <m/>
    <m/>
    <m/>
    <m/>
    <m/>
    <m/>
    <m/>
    <m/>
    <m/>
    <m/>
    <m/>
    <m/>
    <m/>
    <m/>
    <m/>
    <m/>
    <m/>
    <m/>
    <x v="2"/>
    <n v="13"/>
    <n v="9"/>
    <n v="64.58064516129032"/>
    <s v="N!"/>
    <n v="705"/>
    <n v="1297"/>
    <s v="N!"/>
    <n v="29"/>
    <n v="2"/>
    <n v="0"/>
    <n v="4"/>
    <n v="12"/>
    <n v="9"/>
    <n v="1"/>
    <n v="3"/>
    <n v="0"/>
    <n v="0"/>
    <n v="0"/>
    <n v="0"/>
  </r>
  <r>
    <s v="053"/>
    <d v="2013-02-28T00:00:00"/>
    <s v="Eilum Grey, Chapter 1"/>
    <s v="Brady Daniels"/>
    <s v="http://www.kickstarter.com/projects/1980847577/eilum-grey-chapter-1?ref=card"/>
    <x v="1"/>
    <s v="Mesa, AZ"/>
    <s v="AZ"/>
    <d v="2013-01-18T00:00:00"/>
    <d v="2013-02-17T00:00:00"/>
    <n v="5200"/>
    <n v="5000"/>
    <n v="70"/>
    <n v="670"/>
    <x v="2"/>
    <n v="20"/>
    <n v="50"/>
    <n v="75"/>
    <n v="15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4"/>
    <n v="26"/>
    <n v="15"/>
    <n v="10"/>
    <n v="1"/>
    <n v="2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6"/>
    <n v="74.285714285714292"/>
    <s v="N!"/>
    <n v="3210"/>
    <n v="1990"/>
    <s v="N!"/>
    <n v="58"/>
    <n v="12"/>
    <n v="0"/>
    <n v="4"/>
    <n v="26"/>
    <n v="15"/>
    <n v="10"/>
    <n v="1"/>
    <n v="2"/>
    <n v="0"/>
    <n v="0"/>
    <n v="0"/>
  </r>
  <r>
    <s v="054"/>
    <d v="2013-02-28T00:00:00"/>
    <s v="&quot;Let Go&quot; Vinyl"/>
    <s v="Corey Kilgannon"/>
    <s v="http://www.kickstarter.com/projects/1155891351/let-go-vinyl?ref=card"/>
    <x v="6"/>
    <s v="Nashville, TN"/>
    <s v="TN"/>
    <d v="2013-02-03T00:00:00"/>
    <d v="2013-02-17T00:00:00"/>
    <n v="1165"/>
    <n v="1000"/>
    <n v="29"/>
    <n v="2027"/>
    <x v="2"/>
    <n v="25"/>
    <n v="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4"/>
    <n v="16"/>
    <n v="6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3"/>
    <n v="3"/>
    <n v="40.172413793103445"/>
    <s v="N!"/>
    <n v="740"/>
    <n v="425"/>
    <s v="N!"/>
    <n v="26"/>
    <n v="3"/>
    <n v="0"/>
    <n v="4"/>
    <n v="16"/>
    <n v="6"/>
    <n v="0"/>
    <n v="0"/>
    <n v="0"/>
    <n v="0"/>
    <n v="0"/>
    <n v="0"/>
  </r>
  <r>
    <s v="055"/>
    <d v="2013-02-28T00:00:00"/>
    <s v="KICKSTART OUR &lt;+3"/>
    <s v="Davey Suicide"/>
    <s v="http://www.kickstarter.com/projects/daveysuicide/kickstart-our-3?ref=card"/>
    <x v="1"/>
    <s v="Los Angeles, CA"/>
    <s v="CA"/>
    <d v="2013-01-31T00:00:00"/>
    <d v="2013-02-17T00:00:00"/>
    <n v="10017"/>
    <n v="5000"/>
    <n v="55"/>
    <m/>
    <x v="1"/>
    <n v="10"/>
    <n v="25"/>
    <n v="50"/>
    <n v="75"/>
    <n v="75"/>
    <n v="100"/>
    <n v="100"/>
    <n v="150"/>
    <n v="150"/>
    <n v="200"/>
    <n v="250"/>
    <n v="400"/>
    <n v="400"/>
    <n v="500"/>
    <n v="500"/>
    <n v="600"/>
    <n v="5000"/>
    <m/>
    <m/>
    <m/>
    <m/>
    <m/>
    <m/>
    <m/>
    <m/>
    <m/>
    <m/>
    <m/>
    <m/>
    <m/>
    <m/>
    <m/>
    <m/>
    <m/>
    <m/>
    <n v="5"/>
    <n v="10"/>
    <n v="14"/>
    <n v="9"/>
    <n v="3"/>
    <n v="1"/>
    <n v="1"/>
    <n v="0"/>
    <n v="0"/>
    <n v="1"/>
    <n v="0"/>
    <n v="3"/>
    <n v="0"/>
    <n v="0"/>
    <n v="3"/>
    <n v="1"/>
    <n v="1"/>
    <n v="1"/>
    <m/>
    <m/>
    <m/>
    <m/>
    <m/>
    <m/>
    <m/>
    <m/>
    <m/>
    <m/>
    <m/>
    <m/>
    <m/>
    <m/>
    <m/>
    <m/>
    <m/>
    <m/>
    <x v="1"/>
    <n v="18"/>
    <n v="13"/>
    <n v="182.12727272727273"/>
    <s v="N!"/>
    <n v="2225"/>
    <n v="7792"/>
    <s v="N!"/>
    <n v="53"/>
    <n v="2"/>
    <n v="5"/>
    <n v="10"/>
    <n v="14"/>
    <n v="9"/>
    <n v="5"/>
    <n v="4"/>
    <n v="4"/>
    <n v="1"/>
    <n v="0"/>
    <n v="1"/>
  </r>
  <r>
    <s v="056"/>
    <d v="2013-02-28T00:00:00"/>
    <s v="Good Luck Penny's Debut EP"/>
    <s v="Good Luck Penny"/>
    <s v="http://www.kickstarter.com/projects/188848757/good-luck-pennys-debut-ep?ref=card"/>
    <x v="3"/>
    <s v="Orlando, FL"/>
    <s v="FL"/>
    <d v="2013-01-23T00:00:00"/>
    <d v="2013-02-17T00:00:00"/>
    <n v="15020"/>
    <n v="15000"/>
    <n v="61"/>
    <m/>
    <x v="1"/>
    <n v="10"/>
    <n v="20"/>
    <n v="30"/>
    <n v="50"/>
    <n v="100"/>
    <n v="200"/>
    <n v="300"/>
    <n v="500"/>
    <n v="1000"/>
    <n v="5000"/>
    <n v="10000"/>
    <m/>
    <m/>
    <m/>
    <m/>
    <m/>
    <m/>
    <m/>
    <m/>
    <m/>
    <m/>
    <m/>
    <m/>
    <m/>
    <m/>
    <m/>
    <m/>
    <m/>
    <m/>
    <m/>
    <m/>
    <m/>
    <m/>
    <m/>
    <m/>
    <n v="1"/>
    <n v="5"/>
    <n v="8"/>
    <n v="8"/>
    <n v="8"/>
    <n v="6"/>
    <n v="3"/>
    <n v="5"/>
    <n v="2"/>
    <n v="0"/>
    <n v="0"/>
    <n v="0"/>
    <m/>
    <m/>
    <m/>
    <m/>
    <m/>
    <m/>
    <m/>
    <m/>
    <m/>
    <m/>
    <m/>
    <m/>
    <m/>
    <m/>
    <m/>
    <m/>
    <m/>
    <m/>
    <m/>
    <m/>
    <m/>
    <m/>
    <m/>
    <m/>
    <x v="1"/>
    <n v="12"/>
    <n v="9"/>
    <n v="246.2295081967213"/>
    <s v="N!"/>
    <n v="4555"/>
    <n v="10465"/>
    <s v="N!"/>
    <n v="46"/>
    <n v="15"/>
    <n v="1"/>
    <n v="5"/>
    <n v="8"/>
    <n v="16"/>
    <n v="6"/>
    <n v="3"/>
    <n v="7"/>
    <n v="0"/>
    <n v="0"/>
    <n v="0"/>
  </r>
  <r>
    <s v="057"/>
    <d v="2013-02-28T00:00:00"/>
    <s v="Scott Strandberg - Songs for The Fall (Acoustic EP)"/>
    <s v="Scott Strandberg"/>
    <s v="http://www.kickstarter.com/projects/2032773124/scott-strandberg-songs-for-the-fall-acoustic-ep?ref=card"/>
    <x v="3"/>
    <s v="Norman, OK"/>
    <s v="OK"/>
    <d v="2013-01-26T00:00:00"/>
    <d v="2013-02-16T00:00:00"/>
    <n v="605"/>
    <n v="600"/>
    <n v="25"/>
    <n v="705"/>
    <x v="1"/>
    <n v="15"/>
    <n v="25"/>
    <n v="50"/>
    <n v="75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2"/>
    <n v="5"/>
    <n v="2"/>
    <n v="3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5"/>
    <n v="5"/>
    <n v="24.2"/>
    <s v="N!"/>
    <n v="410"/>
    <n v="195"/>
    <s v="N!"/>
    <n v="23"/>
    <n v="2"/>
    <n v="12"/>
    <n v="0"/>
    <n v="7"/>
    <n v="3"/>
    <n v="1"/>
    <n v="0"/>
    <n v="0"/>
    <n v="0"/>
    <n v="0"/>
    <n v="0"/>
  </r>
  <r>
    <s v="058"/>
    <d v="2013-02-28T00:00:00"/>
    <s v="The Muzzlers debut album - &quot;As A Matter of Courtesy&quot;"/>
    <s v="Nik Brink"/>
    <s v="http://www.kickstarter.com/projects/39845720/the-muzzlers-debut-album-as-a-matter-of-courtesy?ref=card"/>
    <x v="1"/>
    <s v="Chicago, IL"/>
    <s v="IL"/>
    <d v="2013-01-17T00:00:00"/>
    <d v="2013-02-16T00:00:00"/>
    <n v="1565"/>
    <n v="1500"/>
    <n v="45"/>
    <n v="287"/>
    <x v="1"/>
    <n v="15"/>
    <n v="25"/>
    <n v="5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"/>
    <n v="12"/>
    <n v="21"/>
    <n v="5"/>
    <n v="0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4"/>
    <n v="34.777777777777779"/>
    <s v="N!"/>
    <n v="965"/>
    <n v="600"/>
    <s v="N!"/>
    <n v="40"/>
    <n v="5"/>
    <n v="2"/>
    <n v="0"/>
    <n v="33"/>
    <n v="5"/>
    <n v="0"/>
    <n v="0"/>
    <n v="0"/>
    <n v="0"/>
    <n v="0"/>
    <n v="0"/>
  </r>
  <r>
    <s v="059"/>
    <d v="2013-02-28T00:00:00"/>
    <s v="KDPI-FM Drop-In Radio's Equip the Studio"/>
    <s v="Micheal Scullion"/>
    <s v="http://www.kickstarter.com/projects/1500592139/kdpi-fm-drop-in-radios-equip-the-studio"/>
    <x v="6"/>
    <s v="Ketchum, ID"/>
    <s v="ID"/>
    <d v="2012-12-18T00:00:00"/>
    <d v="2013-01-16T00:00:00"/>
    <n v="27530"/>
    <n v="25000"/>
    <n v="93"/>
    <n v="792"/>
    <x v="1"/>
    <n v="10"/>
    <n v="25"/>
    <n v="50"/>
    <n v="75"/>
    <n v="135"/>
    <n v="300"/>
    <n v="800"/>
    <n v="1000"/>
    <n v="3000"/>
    <n v="5000"/>
    <n v="10000"/>
    <m/>
    <m/>
    <m/>
    <m/>
    <m/>
    <m/>
    <m/>
    <m/>
    <m/>
    <m/>
    <m/>
    <m/>
    <m/>
    <m/>
    <m/>
    <m/>
    <m/>
    <m/>
    <m/>
    <m/>
    <m/>
    <m/>
    <m/>
    <m/>
    <n v="1"/>
    <n v="5"/>
    <n v="17"/>
    <n v="20"/>
    <n v="8"/>
    <n v="7"/>
    <n v="2"/>
    <n v="1"/>
    <n v="1"/>
    <n v="0"/>
    <n v="1"/>
    <n v="0"/>
    <m/>
    <m/>
    <m/>
    <m/>
    <m/>
    <m/>
    <m/>
    <m/>
    <m/>
    <m/>
    <m/>
    <m/>
    <m/>
    <m/>
    <m/>
    <m/>
    <m/>
    <m/>
    <m/>
    <m/>
    <m/>
    <m/>
    <m/>
    <m/>
    <x v="3"/>
    <n v="12"/>
    <n v="10"/>
    <n v="296.02150537634407"/>
    <s v="N!"/>
    <n v="10425"/>
    <n v="17105"/>
    <s v="N!"/>
    <n v="63"/>
    <n v="30"/>
    <n v="1"/>
    <n v="5"/>
    <n v="17"/>
    <n v="20"/>
    <n v="8"/>
    <n v="7"/>
    <n v="2"/>
    <n v="2"/>
    <n v="0"/>
    <n v="1"/>
  </r>
  <r>
    <s v="060"/>
    <d v="2013-03-01T00:00:00"/>
    <s v="Samecity New EP"/>
    <s v="Samecity"/>
    <s v="http://www.kickstarter.com/projects/samecity/samecity-new-ep?ref=card"/>
    <x v="1"/>
    <s v="Houghton, NY"/>
    <s v="NY"/>
    <d v="2013-01-24T00:00:00"/>
    <d v="2013-02-16T00:00:00"/>
    <n v="2754"/>
    <n v="2500"/>
    <n v="47"/>
    <n v="417"/>
    <x v="7"/>
    <n v="18"/>
    <n v="28"/>
    <n v="38"/>
    <n v="48"/>
    <n v="78"/>
    <n v="108"/>
    <n v="248"/>
    <n v="458"/>
    <m/>
    <m/>
    <m/>
    <m/>
    <m/>
    <m/>
    <m/>
    <m/>
    <m/>
    <m/>
    <m/>
    <m/>
    <m/>
    <m/>
    <m/>
    <m/>
    <m/>
    <m/>
    <m/>
    <m/>
    <m/>
    <m/>
    <m/>
    <m/>
    <m/>
    <m/>
    <m/>
    <n v="8"/>
    <n v="10"/>
    <n v="5"/>
    <n v="4"/>
    <n v="4"/>
    <n v="1"/>
    <n v="1"/>
    <n v="2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9"/>
    <n v="58.595744680851062"/>
    <s v="N!"/>
    <n v="1900"/>
    <n v="854"/>
    <s v="N!"/>
    <n v="36"/>
    <n v="11"/>
    <n v="0"/>
    <n v="0"/>
    <n v="18"/>
    <n v="13"/>
    <n v="1"/>
    <n v="3"/>
    <n v="1"/>
    <n v="0"/>
    <n v="0"/>
    <n v="0"/>
  </r>
  <r>
    <s v="061"/>
    <d v="2013-03-01T00:00:00"/>
    <s v="Volatile Minds raising funds in 30 days to record our NEW EP"/>
    <s v="VOLATILE MINDS"/>
    <s v="http://www.kickstarter.com/projects/volatileminds/volatile-minds-raising-funds-in-30-days-to-record?ref=card"/>
    <x v="1"/>
    <s v="Glendale, AZ"/>
    <s v="AZ"/>
    <d v="2013-01-17T00:00:00"/>
    <d v="2013-02-16T00:00:00"/>
    <n v="3150"/>
    <n v="3000"/>
    <n v="60"/>
    <n v="206"/>
    <x v="6"/>
    <n v="30"/>
    <n v="75"/>
    <n v="125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3"/>
    <n v="21"/>
    <n v="8"/>
    <n v="4"/>
    <n v="0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4"/>
    <n v="52.5"/>
    <s v="N!"/>
    <n v="1925"/>
    <n v="1225"/>
    <s v="N!"/>
    <n v="46"/>
    <n v="14"/>
    <n v="0"/>
    <n v="0"/>
    <n v="13"/>
    <n v="21"/>
    <n v="8"/>
    <n v="4"/>
    <n v="0"/>
    <n v="0"/>
    <n v="0"/>
    <n v="0"/>
  </r>
  <r>
    <s v="062"/>
    <d v="2013-03-01T00:00:00"/>
    <s v="Matt Thomas Debut EP!"/>
    <s v="Matt Thomas"/>
    <s v="http://www.kickstarter.com/projects/1877687970/matt-thomas-debut-ep?ref=card"/>
    <x v="3"/>
    <s v="Atlanta, GA"/>
    <s v="GA"/>
    <d v="2013-01-17T00:00:00"/>
    <d v="2013-02-16T00:00:00"/>
    <n v="825"/>
    <n v="500"/>
    <n v="30"/>
    <m/>
    <x v="2"/>
    <n v="25"/>
    <n v="5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2"/>
    <n v="12"/>
    <n v="4"/>
    <n v="2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4"/>
    <n v="4"/>
    <n v="27.5"/>
    <s v="N!"/>
    <n v="820"/>
    <n v="5"/>
    <s v="OK!"/>
    <n v="30"/>
    <n v="0"/>
    <n v="0"/>
    <n v="12"/>
    <n v="12"/>
    <n v="4"/>
    <n v="2"/>
    <n v="0"/>
    <n v="0"/>
    <n v="0"/>
    <n v="0"/>
    <n v="0"/>
  </r>
  <r>
    <s v="063"/>
    <d v="2013-03-01T00:00:00"/>
    <s v="Katrina Parker is Cooking up an Album for YOU!"/>
    <s v="Katrina Parker"/>
    <s v="http://www.kickstarter.com/projects/845696621/katrina-parker-is-cooking-up-an-album-for-you?ref=card"/>
    <x v="4"/>
    <s v="Los Angeles, CA"/>
    <s v="CA"/>
    <d v="2013-01-17T00:00:00"/>
    <d v="2013-02-16T00:00:00"/>
    <n v="24638"/>
    <n v="19500"/>
    <n v="362"/>
    <n v="1424"/>
    <x v="2"/>
    <n v="15"/>
    <n v="20"/>
    <n v="25"/>
    <n v="50"/>
    <n v="50"/>
    <n v="65"/>
    <n v="100"/>
    <n v="100"/>
    <n v="150"/>
    <n v="150"/>
    <n v="150"/>
    <n v="175"/>
    <n v="200"/>
    <n v="200"/>
    <n v="250"/>
    <n v="250"/>
    <n v="300"/>
    <n v="300"/>
    <n v="350"/>
    <n v="350"/>
    <n v="500"/>
    <n v="1000"/>
    <n v="1000"/>
    <n v="1000"/>
    <n v="1500"/>
    <n v="1500"/>
    <n v="2500"/>
    <n v="4000"/>
    <m/>
    <m/>
    <m/>
    <m/>
    <m/>
    <m/>
    <m/>
    <n v="81"/>
    <n v="49"/>
    <n v="30"/>
    <n v="89"/>
    <n v="27"/>
    <n v="10"/>
    <n v="4"/>
    <n v="25"/>
    <n v="7"/>
    <n v="2"/>
    <n v="1"/>
    <n v="1"/>
    <n v="0"/>
    <n v="1"/>
    <n v="0"/>
    <n v="0"/>
    <n v="1"/>
    <n v="1"/>
    <n v="2"/>
    <n v="1"/>
    <n v="0"/>
    <n v="2"/>
    <n v="1"/>
    <n v="2"/>
    <n v="1"/>
    <n v="1"/>
    <n v="0"/>
    <n v="0"/>
    <n v="1"/>
    <m/>
    <m/>
    <m/>
    <m/>
    <m/>
    <m/>
    <m/>
    <x v="3"/>
    <n v="29"/>
    <n v="23"/>
    <n v="68.060773480662988"/>
    <s v="N!"/>
    <n v="10280"/>
    <n v="14358"/>
    <s v="N!"/>
    <n v="340"/>
    <n v="22"/>
    <n v="0"/>
    <n v="81"/>
    <n v="168"/>
    <n v="37"/>
    <n v="36"/>
    <n v="6"/>
    <n v="6"/>
    <n v="4"/>
    <n v="1"/>
    <n v="1"/>
  </r>
  <r>
    <s v="064"/>
    <d v="2013-03-01T00:00:00"/>
    <s v="South Rail's Self-Titled EP"/>
    <s v="Lara Supan"/>
    <s v="http://www.kickstarter.com/projects/1329110611/south-rails-self-titled-ep?ref=card"/>
    <x v="3"/>
    <s v="Washington, DC"/>
    <s v="DC"/>
    <d v="2013-01-17T00:00:00"/>
    <d v="2013-02-16T00:00:00"/>
    <n v="3775"/>
    <n v="3500"/>
    <n v="73"/>
    <n v="882"/>
    <x v="0"/>
    <n v="5"/>
    <n v="10"/>
    <n v="20"/>
    <n v="30"/>
    <n v="50"/>
    <n v="75"/>
    <n v="100"/>
    <n v="250"/>
    <n v="500"/>
    <n v="1000"/>
    <n v="1500"/>
    <m/>
    <m/>
    <m/>
    <m/>
    <m/>
    <m/>
    <m/>
    <m/>
    <m/>
    <m/>
    <m/>
    <m/>
    <m/>
    <m/>
    <m/>
    <m/>
    <m/>
    <m/>
    <m/>
    <m/>
    <m/>
    <m/>
    <m/>
    <m/>
    <n v="0"/>
    <n v="1"/>
    <n v="18"/>
    <n v="21"/>
    <n v="2"/>
    <n v="8"/>
    <n v="2"/>
    <n v="7"/>
    <n v="0"/>
    <n v="0"/>
    <n v="1"/>
    <n v="0"/>
    <m/>
    <m/>
    <m/>
    <m/>
    <m/>
    <m/>
    <m/>
    <m/>
    <m/>
    <m/>
    <m/>
    <m/>
    <m/>
    <m/>
    <m/>
    <m/>
    <m/>
    <m/>
    <m/>
    <m/>
    <m/>
    <m/>
    <m/>
    <m/>
    <x v="2"/>
    <n v="12"/>
    <n v="8"/>
    <n v="51.712328767123289"/>
    <s v="N!"/>
    <n v="2915"/>
    <n v="860"/>
    <s v="N!"/>
    <n v="60"/>
    <n v="13"/>
    <n v="1"/>
    <n v="18"/>
    <n v="21"/>
    <n v="10"/>
    <n v="9"/>
    <n v="0"/>
    <n v="0"/>
    <n v="1"/>
    <n v="0"/>
    <n v="0"/>
  </r>
  <r>
    <s v="065"/>
    <d v="2013-03-01T00:00:00"/>
    <s v="&quot;Every Wish&quot; solo CD"/>
    <s v="Nate Borofsky"/>
    <s v="http://www.kickstarter.com/projects/1381829906/every-wish-solo-cd?ref=card"/>
    <x v="3"/>
    <s v="Atlanta, GA"/>
    <s v="GA"/>
    <d v="2013-01-17T00:00:00"/>
    <d v="2013-02-16T00:00:00"/>
    <n v="21611"/>
    <n v="15000"/>
    <n v="515"/>
    <m/>
    <x v="1"/>
    <n v="10"/>
    <n v="25"/>
    <n v="40"/>
    <n v="50"/>
    <n v="75"/>
    <n v="100"/>
    <n v="250"/>
    <n v="500"/>
    <n v="1000"/>
    <n v="3000"/>
    <m/>
    <m/>
    <m/>
    <m/>
    <m/>
    <m/>
    <m/>
    <m/>
    <m/>
    <m/>
    <m/>
    <m/>
    <m/>
    <m/>
    <m/>
    <m/>
    <m/>
    <m/>
    <m/>
    <m/>
    <m/>
    <m/>
    <m/>
    <m/>
    <m/>
    <n v="1"/>
    <n v="116"/>
    <n v="181"/>
    <n v="113"/>
    <n v="44"/>
    <n v="5"/>
    <n v="27"/>
    <n v="19"/>
    <n v="0"/>
    <n v="0"/>
    <n v="0"/>
    <m/>
    <m/>
    <m/>
    <m/>
    <m/>
    <m/>
    <m/>
    <m/>
    <m/>
    <m/>
    <m/>
    <m/>
    <m/>
    <m/>
    <m/>
    <m/>
    <m/>
    <m/>
    <m/>
    <m/>
    <m/>
    <m/>
    <m/>
    <m/>
    <m/>
    <x v="3"/>
    <n v="11"/>
    <n v="8"/>
    <n v="41.963106796116506"/>
    <s v="N!"/>
    <n v="20235"/>
    <n v="1376"/>
    <s v="N!"/>
    <n v="506"/>
    <n v="9"/>
    <n v="1"/>
    <n v="116"/>
    <n v="181"/>
    <n v="157"/>
    <n v="32"/>
    <n v="19"/>
    <n v="0"/>
    <n v="0"/>
    <n v="0"/>
    <n v="0"/>
  </r>
  <r>
    <s v="066"/>
    <d v="2013-03-01T00:00:00"/>
    <s v="Rite On! Rite Now! - DEBUT Album Release -"/>
    <s v="Gilbert &quot;Catfish&quot; Mares"/>
    <s v="http://www.kickstarter.com/projects/1516210315/rite-on-rite-now-debut-album-release?ref=card"/>
    <x v="5"/>
    <s v="Oceanside, CA"/>
    <s v="CA"/>
    <d v="2013-01-17T00:00:00"/>
    <d v="2013-02-16T00:00:00"/>
    <n v="2180"/>
    <n v="2000"/>
    <n v="46"/>
    <n v="972"/>
    <x v="8"/>
    <n v="4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4"/>
    <n v="8"/>
    <n v="3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4"/>
    <n v="3"/>
    <n v="47.391304347826086"/>
    <s v="N!"/>
    <n v="1100"/>
    <n v="1080"/>
    <s v="N!"/>
    <n v="35"/>
    <n v="11"/>
    <n v="0"/>
    <n v="0"/>
    <n v="24"/>
    <n v="8"/>
    <n v="3"/>
    <n v="0"/>
    <n v="0"/>
    <n v="0"/>
    <n v="0"/>
    <n v="0"/>
  </r>
  <r>
    <s v="067"/>
    <d v="2013-03-01T00:00:00"/>
    <s v="lauren krothe's debut album - child of babylon"/>
    <s v="lauren krothe"/>
    <s v="http://www.kickstarter.com/projects/laurenkrothe/lauren-krothes-debut-album-child-of-babylon?ref=card"/>
    <x v="4"/>
    <s v="Lake Worth, FL"/>
    <s v="FL"/>
    <d v="2013-01-17T00:00:00"/>
    <d v="2013-02-16T00:00:00"/>
    <n v="5985"/>
    <n v="3950"/>
    <n v="162"/>
    <n v="798"/>
    <x v="0"/>
    <n v="5"/>
    <n v="10"/>
    <n v="20"/>
    <n v="35"/>
    <n v="35"/>
    <n v="50"/>
    <n v="75"/>
    <n v="100"/>
    <n v="150"/>
    <n v="200"/>
    <n v="250"/>
    <n v="500"/>
    <n v="750"/>
    <n v="1000"/>
    <n v="1500"/>
    <n v="3500"/>
    <m/>
    <m/>
    <m/>
    <m/>
    <m/>
    <m/>
    <m/>
    <m/>
    <m/>
    <m/>
    <m/>
    <m/>
    <m/>
    <m/>
    <m/>
    <m/>
    <m/>
    <m/>
    <m/>
    <n v="0"/>
    <n v="36"/>
    <n v="25"/>
    <n v="38"/>
    <n v="22"/>
    <n v="3"/>
    <n v="16"/>
    <n v="2"/>
    <n v="6"/>
    <n v="2"/>
    <n v="2"/>
    <n v="2"/>
    <n v="1"/>
    <n v="0"/>
    <n v="0"/>
    <n v="0"/>
    <n v="0"/>
    <m/>
    <m/>
    <m/>
    <m/>
    <m/>
    <m/>
    <m/>
    <m/>
    <m/>
    <m/>
    <m/>
    <m/>
    <m/>
    <m/>
    <m/>
    <m/>
    <m/>
    <m/>
    <m/>
    <x v="2"/>
    <n v="17"/>
    <n v="12"/>
    <n v="36.944444444444443"/>
    <s v="N!"/>
    <n v="4815"/>
    <n v="1170"/>
    <s v="N!"/>
    <n v="155"/>
    <n v="7"/>
    <n v="36"/>
    <n v="25"/>
    <n v="38"/>
    <n v="41"/>
    <n v="8"/>
    <n v="6"/>
    <n v="1"/>
    <n v="0"/>
    <n v="0"/>
    <n v="0"/>
  </r>
  <r>
    <s v="068"/>
    <d v="2013-03-01T00:00:00"/>
    <s v="PAT WAGGY LP by North Dakota"/>
    <s v="Mo Neuharth"/>
    <s v="http://www.kickstarter.com/projects/1128322984/pat-waggy-lp-by-north-dakota?ref=card"/>
    <x v="5"/>
    <s v="Tempe, AZ"/>
    <s v="AZ"/>
    <d v="2013-01-16T00:00:00"/>
    <d v="2013-02-15T00:00:00"/>
    <n v="1925"/>
    <n v="1500"/>
    <n v="51"/>
    <n v="800"/>
    <x v="0"/>
    <n v="5"/>
    <n v="15"/>
    <n v="25"/>
    <n v="40"/>
    <n v="60"/>
    <n v="100"/>
    <n v="300"/>
    <n v="500"/>
    <n v="1000"/>
    <m/>
    <m/>
    <m/>
    <m/>
    <m/>
    <m/>
    <m/>
    <m/>
    <m/>
    <m/>
    <m/>
    <m/>
    <m/>
    <m/>
    <m/>
    <m/>
    <m/>
    <m/>
    <m/>
    <m/>
    <m/>
    <m/>
    <m/>
    <m/>
    <m/>
    <m/>
    <n v="0"/>
    <n v="1"/>
    <n v="8"/>
    <n v="25"/>
    <n v="7"/>
    <n v="0"/>
    <n v="8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5"/>
    <n v="37.745098039215684"/>
    <s v="N!"/>
    <n v="1830"/>
    <n v="95"/>
    <s v="N!"/>
    <n v="49"/>
    <n v="2"/>
    <n v="1"/>
    <n v="0"/>
    <n v="33"/>
    <n v="7"/>
    <n v="8"/>
    <n v="0"/>
    <n v="0"/>
    <n v="0"/>
    <n v="0"/>
    <n v="0"/>
  </r>
  <r>
    <s v="069"/>
    <d v="2013-03-01T00:00:00"/>
    <s v="Ritchie DeCarlo - WEEK - my first solo album"/>
    <s v="Ritchie deCarlo"/>
    <s v="http://www.kickstarter.com/projects/1538085815/ritchie-decarlo-week-my-first-solo-album?ref=card"/>
    <x v="9"/>
    <s v="Philadelphia, PA"/>
    <s v="PA"/>
    <d v="2013-01-16T00:00:00"/>
    <d v="2013-02-15T00:00:00"/>
    <n v="2237"/>
    <n v="2200"/>
    <n v="56"/>
    <n v="2892"/>
    <x v="4"/>
    <n v="5"/>
    <n v="10"/>
    <n v="20"/>
    <n v="40"/>
    <n v="80"/>
    <n v="120"/>
    <n v="250"/>
    <n v="500"/>
    <m/>
    <m/>
    <m/>
    <m/>
    <m/>
    <m/>
    <m/>
    <m/>
    <m/>
    <m/>
    <m/>
    <m/>
    <m/>
    <m/>
    <m/>
    <m/>
    <m/>
    <m/>
    <m/>
    <m/>
    <m/>
    <m/>
    <m/>
    <m/>
    <m/>
    <m/>
    <m/>
    <n v="1"/>
    <n v="4"/>
    <n v="11"/>
    <n v="25"/>
    <n v="8"/>
    <n v="2"/>
    <n v="2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9"/>
    <n v="39.946428571428569"/>
    <s v="N!"/>
    <n v="2102"/>
    <n v="135"/>
    <s v="N!"/>
    <n v="55"/>
    <n v="1"/>
    <n v="5"/>
    <n v="11"/>
    <n v="25"/>
    <n v="8"/>
    <n v="2"/>
    <n v="3"/>
    <n v="1"/>
    <n v="0"/>
    <n v="0"/>
    <n v="0"/>
  </r>
  <r>
    <s v="070"/>
    <d v="2013-03-01T00:00:00"/>
    <s v="MonkeyLove on the Road to HONK! TX"/>
    <s v="MMMB"/>
    <s v="http://www.kickstarter.com/projects/mmmb/monkeylove-on-the-road-to-honk-tx?ref=card"/>
    <x v="5"/>
    <s v="Lexington, KY"/>
    <s v="KY"/>
    <d v="2013-01-25T00:00:00"/>
    <d v="2013-02-15T00:00:00"/>
    <n v="3318"/>
    <n v="3000"/>
    <n v="57"/>
    <m/>
    <x v="1"/>
    <n v="20"/>
    <n v="35"/>
    <n v="60"/>
    <n v="100"/>
    <n v="200"/>
    <n v="350"/>
    <n v="500"/>
    <n v="1000"/>
    <n v="2500"/>
    <m/>
    <m/>
    <m/>
    <m/>
    <m/>
    <m/>
    <m/>
    <m/>
    <m/>
    <m/>
    <m/>
    <m/>
    <m/>
    <m/>
    <m/>
    <m/>
    <m/>
    <m/>
    <m/>
    <m/>
    <m/>
    <m/>
    <m/>
    <m/>
    <m/>
    <m/>
    <n v="3"/>
    <n v="4"/>
    <n v="11"/>
    <n v="4"/>
    <n v="10"/>
    <n v="0"/>
    <n v="0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5"/>
    <n v="58.210526315789473"/>
    <s v="N!"/>
    <n v="1720"/>
    <n v="1598"/>
    <s v="N!"/>
    <n v="32"/>
    <n v="25"/>
    <n v="3"/>
    <n v="0"/>
    <n v="4"/>
    <n v="11"/>
    <n v="14"/>
    <n v="0"/>
    <n v="0"/>
    <n v="0"/>
    <n v="0"/>
    <n v="0"/>
  </r>
  <r>
    <s v="071"/>
    <d v="2013-03-01T00:00:00"/>
    <s v="JOSHUA BAEZ's Album Release"/>
    <s v="Joshua Baez"/>
    <s v="http://www.kickstarter.com/projects/joshbaezmusic/joshua-baezs-album-release?ref=card"/>
    <x v="6"/>
    <s v="Bellevue, WA"/>
    <s v="WA"/>
    <d v="2013-01-16T00:00:00"/>
    <d v="2013-02-15T00:00:00"/>
    <n v="710"/>
    <n v="500"/>
    <n v="15"/>
    <m/>
    <x v="4"/>
    <n v="6"/>
    <n v="8"/>
    <n v="10"/>
    <n v="15"/>
    <n v="20"/>
    <n v="50"/>
    <n v="100"/>
    <m/>
    <m/>
    <m/>
    <m/>
    <m/>
    <m/>
    <m/>
    <m/>
    <m/>
    <m/>
    <m/>
    <m/>
    <m/>
    <m/>
    <m/>
    <m/>
    <m/>
    <m/>
    <m/>
    <m/>
    <m/>
    <m/>
    <m/>
    <m/>
    <m/>
    <m/>
    <m/>
    <m/>
    <n v="0"/>
    <n v="0"/>
    <n v="0"/>
    <n v="1"/>
    <n v="2"/>
    <n v="5"/>
    <n v="3"/>
    <n v="1"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8"/>
    <n v="5"/>
    <n v="47.333333333333336"/>
    <s v="N!"/>
    <n v="390"/>
    <n v="320"/>
    <s v="N!"/>
    <n v="12"/>
    <n v="3"/>
    <n v="0"/>
    <n v="1"/>
    <n v="7"/>
    <n v="3"/>
    <n v="1"/>
    <n v="0"/>
    <n v="0"/>
    <n v="0"/>
    <n v="0"/>
    <n v="0"/>
  </r>
  <r>
    <s v="072"/>
    <d v="2013-03-01T00:00:00"/>
    <s v="Music Video &quot;The Smoke&quot; by Hamin Reed"/>
    <s v="Jeffrey"/>
    <s v="http://www.kickstarter.com/projects/162286821/music-video-the-smoke-by-hamin-reed?ref=card"/>
    <x v="5"/>
    <s v="New York, NY"/>
    <s v="NY"/>
    <d v="2013-02-09T00:00:00"/>
    <d v="2013-02-15T00:00:00"/>
    <n v="890"/>
    <n v="850"/>
    <n v="23"/>
    <n v="178"/>
    <x v="2"/>
    <n v="20"/>
    <n v="5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6"/>
    <n v="0"/>
    <n v="3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4"/>
    <n v="3"/>
    <n v="38.695652173913047"/>
    <s v="N!"/>
    <n v="450"/>
    <n v="440"/>
    <s v="N!"/>
    <n v="12"/>
    <n v="11"/>
    <n v="0"/>
    <n v="3"/>
    <n v="6"/>
    <n v="0"/>
    <n v="3"/>
    <n v="0"/>
    <n v="0"/>
    <n v="0"/>
    <n v="0"/>
    <n v="0"/>
  </r>
  <r>
    <s v="073"/>
    <d v="2013-03-01T00:00:00"/>
    <s v="Unwoman's Uncovered Vol 2: Lemniscate - Looping Cello covers"/>
    <s v="unwoman"/>
    <s v="http://www.kickstarter.com/projects/unwoman/unwomans-uncovered-vol-2-lemniscate-looping-cello?ref=card"/>
    <x v="4"/>
    <s v="Oakland, CA"/>
    <s v="CA"/>
    <d v="2012-12-31T00:00:00"/>
    <d v="2013-02-15T00:00:00"/>
    <n v="14804"/>
    <n v="6000"/>
    <n v="668"/>
    <n v="2836"/>
    <x v="0"/>
    <n v="5"/>
    <n v="14"/>
    <n v="15"/>
    <n v="25"/>
    <n v="45"/>
    <n v="50"/>
    <n v="51"/>
    <n v="60"/>
    <n v="75"/>
    <n v="100"/>
    <n v="101"/>
    <n v="120"/>
    <n v="600"/>
    <m/>
    <m/>
    <m/>
    <m/>
    <m/>
    <m/>
    <m/>
    <m/>
    <m/>
    <m/>
    <m/>
    <m/>
    <m/>
    <m/>
    <m/>
    <m/>
    <m/>
    <m/>
    <m/>
    <m/>
    <m/>
    <m/>
    <n v="7"/>
    <n v="286"/>
    <n v="15"/>
    <n v="138"/>
    <n v="121"/>
    <n v="16"/>
    <n v="25"/>
    <n v="27"/>
    <n v="5"/>
    <n v="0"/>
    <n v="11"/>
    <n v="3"/>
    <n v="9"/>
    <n v="1"/>
    <m/>
    <m/>
    <m/>
    <m/>
    <m/>
    <m/>
    <m/>
    <m/>
    <m/>
    <m/>
    <m/>
    <m/>
    <m/>
    <m/>
    <m/>
    <m/>
    <m/>
    <m/>
    <m/>
    <m/>
    <m/>
    <m/>
    <x v="1"/>
    <n v="14"/>
    <n v="13"/>
    <n v="22.161676646706585"/>
    <s v="N!"/>
    <n v="11792"/>
    <n v="3012"/>
    <s v="N!"/>
    <n v="664"/>
    <n v="4"/>
    <n v="293"/>
    <n v="0"/>
    <n v="274"/>
    <n v="41"/>
    <n v="43"/>
    <n v="12"/>
    <n v="0"/>
    <n v="1"/>
    <n v="0"/>
    <n v="0"/>
  </r>
  <r>
    <s v="074"/>
    <d v="2013-03-01T00:00:00"/>
    <s v="Help fund MISC. AILMENTS first FULL LENGTH album!!"/>
    <s v="Misc. Ailments"/>
    <s v="http://www.kickstarter.com/projects/1491602809/help-fund-misc-ailments-first-full-length-album?ref=card"/>
    <x v="5"/>
    <s v="San Diego, CA"/>
    <s v="CA"/>
    <d v="2013-01-16T00:00:00"/>
    <d v="2013-02-15T00:00:00"/>
    <n v="4886"/>
    <n v="4500"/>
    <n v="67"/>
    <n v="1020"/>
    <x v="0"/>
    <n v="5"/>
    <n v="10"/>
    <n v="20"/>
    <n v="40"/>
    <n v="80"/>
    <n v="120"/>
    <n v="250"/>
    <n v="500"/>
    <m/>
    <m/>
    <m/>
    <m/>
    <m/>
    <m/>
    <m/>
    <m/>
    <m/>
    <m/>
    <m/>
    <m/>
    <m/>
    <m/>
    <m/>
    <m/>
    <m/>
    <m/>
    <m/>
    <m/>
    <m/>
    <m/>
    <m/>
    <m/>
    <m/>
    <m/>
    <m/>
    <n v="1"/>
    <n v="1"/>
    <n v="18"/>
    <n v="22"/>
    <n v="10"/>
    <n v="5"/>
    <n v="5"/>
    <n v="0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8"/>
    <n v="72.925373134328353"/>
    <s v="N!"/>
    <n v="2526"/>
    <n v="2360"/>
    <s v="N!"/>
    <n v="63"/>
    <n v="4"/>
    <n v="2"/>
    <n v="18"/>
    <n v="22"/>
    <n v="10"/>
    <n v="5"/>
    <n v="5"/>
    <n v="1"/>
    <n v="0"/>
    <n v="0"/>
    <n v="0"/>
  </r>
  <r>
    <s v="075"/>
    <d v="2013-03-01T00:00:00"/>
    <s v="Ned Durrett and the Kindly Gents First Full-Length Album"/>
    <s v="Ned Durrett"/>
    <s v="http://www.kickstarter.com/projects/1262788148/ned-durrett-and-the-kindly-gents-first-full-length?ref=card"/>
    <x v="6"/>
    <s v="Columbia, SC"/>
    <s v="SC"/>
    <d v="2013-01-25T00:00:00"/>
    <d v="2013-02-15T00:00:00"/>
    <n v="5825"/>
    <n v="5500"/>
    <n v="122"/>
    <m/>
    <x v="2"/>
    <n v="25"/>
    <n v="50"/>
    <n v="75"/>
    <n v="100"/>
    <n v="100"/>
    <n v="200"/>
    <n v="200"/>
    <n v="300"/>
    <n v="300"/>
    <n v="500"/>
    <n v="500"/>
    <n v="1000"/>
    <n v="1000"/>
    <n v="2750"/>
    <n v="5500"/>
    <m/>
    <m/>
    <m/>
    <m/>
    <m/>
    <m/>
    <m/>
    <m/>
    <m/>
    <m/>
    <m/>
    <m/>
    <m/>
    <m/>
    <m/>
    <m/>
    <m/>
    <m/>
    <m/>
    <m/>
    <n v="54"/>
    <n v="24"/>
    <n v="18"/>
    <n v="7"/>
    <n v="1"/>
    <n v="8"/>
    <n v="0"/>
    <n v="1"/>
    <n v="0"/>
    <n v="0"/>
    <n v="1"/>
    <n v="1"/>
    <n v="0"/>
    <n v="0"/>
    <n v="0"/>
    <n v="0"/>
    <m/>
    <m/>
    <m/>
    <m/>
    <m/>
    <m/>
    <m/>
    <m/>
    <m/>
    <m/>
    <m/>
    <m/>
    <m/>
    <m/>
    <m/>
    <m/>
    <m/>
    <m/>
    <m/>
    <m/>
    <x v="2"/>
    <n v="16"/>
    <n v="9"/>
    <n v="47.745901639344261"/>
    <s v="N!"/>
    <n v="4665"/>
    <n v="1160"/>
    <s v="N!"/>
    <n v="115"/>
    <n v="7"/>
    <n v="0"/>
    <n v="54"/>
    <n v="24"/>
    <n v="18"/>
    <n v="16"/>
    <n v="1"/>
    <n v="2"/>
    <n v="0"/>
    <n v="0"/>
    <n v="0"/>
  </r>
  <r>
    <s v="076"/>
    <d v="2013-03-01T00:00:00"/>
    <s v="Concert with the Aoede Consort"/>
    <s v="Nicholas Ascioti"/>
    <s v="http://www.kickstarter.com/projects/527111109/concert-with-the-aoede-consort?ref=card"/>
    <x v="0"/>
    <s v="Wynantskill, NY"/>
    <s v="NY"/>
    <d v="2013-01-01T00:00:00"/>
    <d v="2013-02-15T00:00:00"/>
    <n v="3015"/>
    <n v="3000"/>
    <n v="12"/>
    <n v="96"/>
    <x v="5"/>
    <n v="35"/>
    <n v="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2"/>
    <n v="5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3"/>
    <n v="3"/>
    <n v="251.25"/>
    <s v="N!"/>
    <n v="345"/>
    <n v="2670"/>
    <s v="N!"/>
    <n v="8"/>
    <n v="4"/>
    <n v="0"/>
    <n v="0"/>
    <n v="1"/>
    <n v="7"/>
    <n v="0"/>
    <n v="0"/>
    <n v="0"/>
    <n v="0"/>
    <n v="0"/>
    <n v="0"/>
  </r>
  <r>
    <s v="077"/>
    <d v="2013-03-01T00:00:00"/>
    <s v="Burning Bridget Cleary Creates a New Album!"/>
    <s v="Rose Baldino"/>
    <s v="http://www.kickstarter.com/projects/89640842/burning-bridget-cleary-creates-a-new-album?ref=card"/>
    <x v="9"/>
    <s v="Philadelphia, PA"/>
    <s v="PA"/>
    <d v="2013-01-11T00:00:00"/>
    <d v="2013-02-15T00:00:00"/>
    <n v="8564"/>
    <n v="8000"/>
    <n v="156"/>
    <n v="803"/>
    <x v="0"/>
    <n v="10"/>
    <n v="20"/>
    <n v="30"/>
    <n v="50"/>
    <n v="100"/>
    <n v="150"/>
    <n v="250"/>
    <n v="500"/>
    <n v="750"/>
    <n v="1000"/>
    <n v="2500"/>
    <m/>
    <m/>
    <m/>
    <m/>
    <m/>
    <m/>
    <m/>
    <m/>
    <m/>
    <m/>
    <m/>
    <m/>
    <m/>
    <m/>
    <m/>
    <m/>
    <m/>
    <m/>
    <m/>
    <m/>
    <m/>
    <m/>
    <m/>
    <m/>
    <n v="1"/>
    <n v="21"/>
    <n v="37"/>
    <n v="48"/>
    <n v="23"/>
    <n v="14"/>
    <n v="3"/>
    <n v="0"/>
    <n v="5"/>
    <n v="0"/>
    <n v="0"/>
    <n v="0"/>
    <m/>
    <m/>
    <m/>
    <m/>
    <m/>
    <m/>
    <m/>
    <m/>
    <m/>
    <m/>
    <m/>
    <m/>
    <m/>
    <m/>
    <m/>
    <m/>
    <m/>
    <m/>
    <m/>
    <m/>
    <m/>
    <m/>
    <m/>
    <m/>
    <x v="2"/>
    <n v="12"/>
    <n v="8"/>
    <n v="54.897435897435898"/>
    <s v="N!"/>
    <n v="7891"/>
    <n v="673"/>
    <s v="N!"/>
    <n v="152"/>
    <n v="4"/>
    <n v="1"/>
    <n v="21"/>
    <n v="37"/>
    <n v="71"/>
    <n v="14"/>
    <n v="3"/>
    <n v="5"/>
    <n v="0"/>
    <n v="0"/>
    <n v="0"/>
  </r>
  <r>
    <s v="078"/>
    <d v="2013-03-01T00:00:00"/>
    <s v="The Brainiac Project"/>
    <s v="Jabari &quot;Naledge&quot; Evans"/>
    <s v="http://www.kickstarter.com/projects/471621891/the-brainiac-project?ref=card"/>
    <x v="2"/>
    <s v="Chicago, IL"/>
    <s v="IL"/>
    <d v="2012-12-17T00:00:00"/>
    <d v="2013-02-15T00:00:00"/>
    <n v="2400"/>
    <n v="2000"/>
    <n v="48"/>
    <n v="4865"/>
    <x v="2"/>
    <n v="25"/>
    <n v="50"/>
    <n v="100"/>
    <n v="1000"/>
    <n v="20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7"/>
    <n v="7"/>
    <n v="8"/>
    <n v="6"/>
    <n v="0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4"/>
    <n v="50"/>
    <s v="N!"/>
    <n v="1345"/>
    <n v="1055"/>
    <s v="N!"/>
    <n v="38"/>
    <n v="10"/>
    <n v="0"/>
    <n v="17"/>
    <n v="7"/>
    <n v="8"/>
    <n v="6"/>
    <n v="0"/>
    <n v="0"/>
    <n v="0"/>
    <n v="0"/>
    <n v="0"/>
  </r>
  <r>
    <s v="079"/>
    <d v="2013-03-01T00:00:00"/>
    <s v="Help Ez Kebage Do Unto Mothers!"/>
    <s v="Adam Woehrle"/>
    <s v="http://www.kickstarter.com/projects/316404526/help-ez-kebage-do-unto-mothers?ref=card"/>
    <x v="1"/>
    <s v="Chicago, IL"/>
    <s v="IL"/>
    <d v="2013-01-07T00:00:00"/>
    <d v="2013-02-15T00:00:00"/>
    <n v="1103"/>
    <n v="975"/>
    <n v="31"/>
    <n v="490"/>
    <x v="0"/>
    <n v="2"/>
    <n v="5"/>
    <n v="10"/>
    <n v="25"/>
    <n v="21"/>
    <n v="50"/>
    <n v="100"/>
    <n v="175"/>
    <n v="250"/>
    <n v="500"/>
    <m/>
    <m/>
    <m/>
    <m/>
    <m/>
    <m/>
    <m/>
    <m/>
    <m/>
    <m/>
    <m/>
    <m/>
    <m/>
    <m/>
    <m/>
    <m/>
    <m/>
    <m/>
    <m/>
    <m/>
    <m/>
    <m/>
    <m/>
    <m/>
    <m/>
    <n v="0"/>
    <n v="0"/>
    <n v="9"/>
    <n v="7"/>
    <n v="10"/>
    <n v="1"/>
    <n v="1"/>
    <n v="0"/>
    <n v="2"/>
    <n v="0"/>
    <n v="0"/>
    <m/>
    <m/>
    <m/>
    <m/>
    <m/>
    <m/>
    <m/>
    <m/>
    <m/>
    <m/>
    <m/>
    <m/>
    <m/>
    <m/>
    <m/>
    <m/>
    <m/>
    <m/>
    <m/>
    <m/>
    <m/>
    <m/>
    <m/>
    <m/>
    <m/>
    <x v="2"/>
    <n v="11"/>
    <n v="6"/>
    <n v="35.58064516129032"/>
    <s v="N!"/>
    <n v="786"/>
    <n v="317"/>
    <s v="N!"/>
    <n v="30"/>
    <n v="1"/>
    <n v="9"/>
    <n v="7"/>
    <n v="11"/>
    <n v="1"/>
    <n v="0"/>
    <n v="2"/>
    <n v="0"/>
    <n v="0"/>
    <n v="0"/>
    <n v="0"/>
  </r>
  <r>
    <s v="080"/>
    <d v="2013-03-02T00:00:00"/>
    <s v="The Schola Cantorum St. Matthew Passion Project"/>
    <s v="Schola Cantorum"/>
    <s v="http://www.kickstarter.com/projects/813943161/the-schola-cantorum-st-matthew-passion-project?ref=card"/>
    <x v="0"/>
    <s v="Stanford, CA"/>
    <s v="CA"/>
    <d v="2013-01-10T00:00:00"/>
    <d v="2013-02-15T00:00:00"/>
    <n v="5995"/>
    <n v="5500"/>
    <n v="76"/>
    <n v="396"/>
    <x v="2"/>
    <n v="25"/>
    <n v="25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m/>
    <n v="8"/>
    <n v="12"/>
    <n v="2"/>
    <n v="28"/>
    <n v="5"/>
    <n v="4"/>
    <n v="1"/>
    <n v="1"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8"/>
    <n v="8"/>
    <n v="78.881578947368425"/>
    <s v="N!"/>
    <n v="4830"/>
    <n v="1165"/>
    <s v="N!"/>
    <n v="61"/>
    <n v="15"/>
    <n v="0"/>
    <n v="8"/>
    <n v="14"/>
    <n v="28"/>
    <n v="5"/>
    <n v="4"/>
    <n v="1"/>
    <n v="1"/>
    <n v="0"/>
    <n v="0"/>
  </r>
  <r>
    <s v="081"/>
    <d v="2013-03-02T00:00:00"/>
    <s v="Painted In Blood: Carnival of Souls the debut album"/>
    <s v="Adam Arcane"/>
    <s v="http://www.kickstarter.com/projects/737515403/painted-in-blood-carnival-of-souls-the-debut-album?ref=card"/>
    <x v="1"/>
    <s v="Columbia, MO"/>
    <s v="MO"/>
    <d v="2013-01-16T00:00:00"/>
    <d v="2013-02-15T00:00:00"/>
    <n v="580"/>
    <n v="500"/>
    <n v="18"/>
    <n v="867"/>
    <x v="4"/>
    <n v="7"/>
    <n v="12"/>
    <n v="15"/>
    <n v="20"/>
    <n v="40"/>
    <n v="100"/>
    <m/>
    <m/>
    <m/>
    <m/>
    <m/>
    <m/>
    <m/>
    <m/>
    <m/>
    <m/>
    <m/>
    <m/>
    <m/>
    <m/>
    <m/>
    <m/>
    <m/>
    <m/>
    <m/>
    <m/>
    <m/>
    <m/>
    <m/>
    <m/>
    <m/>
    <m/>
    <m/>
    <m/>
    <m/>
    <n v="0"/>
    <n v="3"/>
    <n v="1"/>
    <n v="2"/>
    <n v="8"/>
    <n v="2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7"/>
    <n v="5"/>
    <n v="32.222222222222221"/>
    <s v="N!"/>
    <n v="303"/>
    <n v="277"/>
    <s v="N!"/>
    <n v="16"/>
    <n v="2"/>
    <n v="0"/>
    <n v="3"/>
    <n v="11"/>
    <n v="2"/>
    <n v="0"/>
    <n v="0"/>
    <n v="0"/>
    <n v="0"/>
    <n v="0"/>
    <n v="0"/>
  </r>
  <r>
    <s v="082"/>
    <d v="2013-03-02T00:00:00"/>
    <s v="Shook Foil's Very First Full-Length Album"/>
    <s v="Shook Foil"/>
    <s v="http://www.kickstarter.com/projects/1627517340/shook-foils-very-first-full-length-album?ref=card"/>
    <x v="6"/>
    <s v="Atlanta, GA"/>
    <s v="GA"/>
    <d v="2013-01-01T00:00:00"/>
    <d v="2013-02-14T00:00:00"/>
    <n v="6230"/>
    <n v="6000"/>
    <n v="74"/>
    <n v="192"/>
    <x v="2"/>
    <n v="15"/>
    <n v="20"/>
    <n v="30"/>
    <n v="50"/>
    <n v="75"/>
    <n v="100"/>
    <n v="150"/>
    <n v="200"/>
    <n v="250"/>
    <n v="400"/>
    <n v="500"/>
    <n v="800"/>
    <n v="1000"/>
    <m/>
    <m/>
    <m/>
    <m/>
    <m/>
    <m/>
    <m/>
    <m/>
    <m/>
    <m/>
    <m/>
    <m/>
    <m/>
    <m/>
    <m/>
    <m/>
    <m/>
    <m/>
    <m/>
    <m/>
    <m/>
    <m/>
    <n v="9"/>
    <n v="5"/>
    <n v="11"/>
    <n v="17"/>
    <n v="5"/>
    <n v="4"/>
    <n v="7"/>
    <n v="1"/>
    <n v="2"/>
    <n v="1"/>
    <n v="5"/>
    <n v="0"/>
    <n v="0"/>
    <n v="0"/>
    <m/>
    <m/>
    <m/>
    <m/>
    <m/>
    <m/>
    <m/>
    <m/>
    <m/>
    <m/>
    <m/>
    <m/>
    <m/>
    <m/>
    <m/>
    <m/>
    <m/>
    <m/>
    <m/>
    <m/>
    <m/>
    <m/>
    <x v="2"/>
    <n v="14"/>
    <n v="11"/>
    <n v="84.189189189189193"/>
    <s v="N!"/>
    <n v="4945"/>
    <n v="1285"/>
    <s v="N!"/>
    <n v="67"/>
    <n v="7"/>
    <n v="0"/>
    <n v="9"/>
    <n v="16"/>
    <n v="22"/>
    <n v="11"/>
    <n v="4"/>
    <n v="5"/>
    <n v="0"/>
    <n v="0"/>
    <n v="0"/>
  </r>
  <r>
    <s v="083"/>
    <d v="2013-03-02T00:00:00"/>
    <s v="Let's finish Ashleigh Flynn's &quot;A Million Stars&quot; LP!"/>
    <s v="Ashleigh Flynn"/>
    <s v="http://www.kickstarter.com/projects/1523048139/lets-finish-ashleigh-flynns-a-million-stars-lp?ref=card"/>
    <x v="3"/>
    <s v="Portland, OR"/>
    <s v="OR"/>
    <d v="2013-01-17T00:00:00"/>
    <d v="2013-02-14T00:00:00"/>
    <n v="11960"/>
    <n v="3000"/>
    <n v="116"/>
    <n v="2305"/>
    <x v="2"/>
    <n v="20"/>
    <n v="25"/>
    <n v="35"/>
    <n v="50"/>
    <n v="75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n v="12"/>
    <n v="22"/>
    <n v="0"/>
    <n v="14"/>
    <n v="38"/>
    <n v="8"/>
    <n v="5"/>
    <n v="5"/>
    <m/>
    <m/>
    <m/>
    <m/>
    <m/>
    <m/>
    <m/>
    <m/>
    <m/>
    <m/>
    <m/>
    <m/>
    <m/>
    <m/>
    <m/>
    <m/>
    <m/>
    <m/>
    <m/>
    <m/>
    <m/>
    <m/>
    <m/>
    <m/>
    <m/>
    <m/>
    <m/>
    <m/>
    <x v="1"/>
    <n v="8"/>
    <n v="7"/>
    <n v="103.10344827586206"/>
    <s v="N!"/>
    <n v="6550"/>
    <n v="5410"/>
    <s v="N!"/>
    <n v="104"/>
    <n v="12"/>
    <n v="0"/>
    <n v="12"/>
    <n v="22"/>
    <n v="52"/>
    <n v="13"/>
    <n v="0"/>
    <n v="5"/>
    <n v="0"/>
    <n v="0"/>
    <n v="0"/>
  </r>
  <r>
    <s v="084"/>
    <d v="2013-03-02T00:00:00"/>
    <s v="Ron E Rawhoof debut album &quot;Too Much To Lose&quot;"/>
    <s v="Ron E Rawhoof"/>
    <s v="http://www.kickstarter.com/projects/486519799/ron-e-rawhoof-debut-album-too-much-to-lose?ref=card"/>
    <x v="3"/>
    <s v="Rockford, IL"/>
    <s v="IL"/>
    <d v="2013-01-15T00:00:00"/>
    <d v="2013-02-14T00:00:00"/>
    <n v="1502"/>
    <n v="1200"/>
    <n v="67"/>
    <n v="265"/>
    <x v="1"/>
    <n v="10"/>
    <n v="15"/>
    <n v="25"/>
    <n v="40"/>
    <n v="4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1"/>
    <n v="32"/>
    <n v="22"/>
    <n v="8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5"/>
    <n v="22.417910447761194"/>
    <s v="N!"/>
    <n v="1365"/>
    <n v="137"/>
    <s v="N!"/>
    <n v="64"/>
    <n v="3"/>
    <n v="1"/>
    <n v="1"/>
    <n v="54"/>
    <n v="8"/>
    <n v="0"/>
    <n v="0"/>
    <n v="0"/>
    <n v="0"/>
    <n v="0"/>
    <n v="0"/>
  </r>
  <r>
    <s v="085"/>
    <d v="2013-03-02T00:00:00"/>
    <s v="BETWEEN HURRICANE AND HARBOR"/>
    <s v="This The Rescue"/>
    <s v="http://www.kickstarter.com/projects/thistherescue/between-hurricane-and-harbor?ref=card"/>
    <x v="6"/>
    <s v="Westminster, MD"/>
    <s v="MD"/>
    <d v="2013-01-15T00:00:00"/>
    <d v="2013-02-14T00:00:00"/>
    <n v="5140"/>
    <n v="5000"/>
    <n v="84"/>
    <m/>
    <x v="2"/>
    <n v="15"/>
    <n v="25"/>
    <n v="35"/>
    <n v="50"/>
    <n v="65"/>
    <n v="80"/>
    <n v="100"/>
    <n v="140"/>
    <n v="180"/>
    <n v="225"/>
    <n v="250"/>
    <n v="250"/>
    <n v="300"/>
    <n v="400"/>
    <n v="750"/>
    <n v="1500"/>
    <n v="2200"/>
    <n v="3000"/>
    <n v="4500"/>
    <n v="5500"/>
    <m/>
    <m/>
    <m/>
    <m/>
    <m/>
    <m/>
    <m/>
    <m/>
    <m/>
    <m/>
    <m/>
    <m/>
    <m/>
    <m/>
    <m/>
    <n v="19"/>
    <n v="13"/>
    <n v="9"/>
    <n v="8"/>
    <n v="8"/>
    <n v="5"/>
    <n v="0"/>
    <n v="6"/>
    <n v="2"/>
    <n v="2"/>
    <n v="0"/>
    <n v="0"/>
    <n v="0"/>
    <n v="3"/>
    <n v="1"/>
    <n v="0"/>
    <n v="0"/>
    <n v="0"/>
    <n v="0"/>
    <n v="0"/>
    <n v="0"/>
    <m/>
    <m/>
    <m/>
    <m/>
    <m/>
    <m/>
    <m/>
    <m/>
    <m/>
    <m/>
    <m/>
    <m/>
    <m/>
    <m/>
    <m/>
    <x v="2"/>
    <n v="21"/>
    <n v="11"/>
    <n v="61.19047619047619"/>
    <s v="N!"/>
    <n v="2855"/>
    <n v="2285"/>
    <s v="N!"/>
    <n v="76"/>
    <n v="8"/>
    <n v="0"/>
    <n v="19"/>
    <n v="22"/>
    <n v="16"/>
    <n v="11"/>
    <n v="4"/>
    <n v="4"/>
    <n v="0"/>
    <n v="0"/>
    <n v="0"/>
  </r>
  <r>
    <s v="086"/>
    <d v="2013-03-02T00:00:00"/>
    <s v="Bogg's &quot;So Happy, It Hurts&quot; Recording and Vinyl Pressing"/>
    <s v="Bogg"/>
    <s v="http://www.kickstarter.com/projects/1993719875/boggs-so-happy-it-hurts-recording-and-vinyl-pressi?ref=card"/>
    <x v="8"/>
    <s v="Chico, CA"/>
    <s v="CA"/>
    <d v="2013-01-10T00:00:00"/>
    <d v="2013-02-14T00:00:00"/>
    <n v="1075"/>
    <n v="1000"/>
    <n v="31"/>
    <n v="362"/>
    <x v="1"/>
    <n v="10"/>
    <n v="25"/>
    <n v="50"/>
    <n v="150"/>
    <n v="2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5"/>
    <n v="8"/>
    <n v="6"/>
    <n v="2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6"/>
    <n v="5"/>
    <n v="34.677419354838712"/>
    <s v="N!"/>
    <n v="865"/>
    <n v="210"/>
    <s v="N!"/>
    <n v="24"/>
    <n v="7"/>
    <n v="3"/>
    <n v="5"/>
    <n v="8"/>
    <n v="6"/>
    <n v="0"/>
    <n v="2"/>
    <n v="0"/>
    <n v="0"/>
    <n v="0"/>
    <n v="0"/>
  </r>
  <r>
    <s v="087"/>
    <d v="2013-03-02T00:00:00"/>
    <s v="Jenny Leigh Records in Nashville!"/>
    <s v="Jenny Leigh"/>
    <s v="http://www.kickstarter.com/projects/1387596491/jenny-leigh-records-in-nashville?ref=card"/>
    <x v="5"/>
    <s v="Nashville, TN"/>
    <s v="TN"/>
    <d v="2012-12-15T00:00:00"/>
    <d v="2013-02-13T00:00:00"/>
    <n v="10082"/>
    <n v="8000"/>
    <n v="94"/>
    <n v="695"/>
    <x v="2"/>
    <n v="25"/>
    <n v="50"/>
    <n v="100"/>
    <n v="25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m/>
    <m/>
    <n v="5"/>
    <n v="30"/>
    <n v="14"/>
    <n v="11"/>
    <n v="4"/>
    <n v="1"/>
    <n v="4"/>
    <m/>
    <m/>
    <m/>
    <m/>
    <m/>
    <m/>
    <m/>
    <m/>
    <m/>
    <m/>
    <m/>
    <m/>
    <m/>
    <m/>
    <m/>
    <m/>
    <m/>
    <m/>
    <m/>
    <m/>
    <m/>
    <m/>
    <m/>
    <m/>
    <m/>
    <m/>
    <m/>
    <m/>
    <m/>
    <x v="1"/>
    <n v="7"/>
    <n v="7"/>
    <n v="107.25531914893617"/>
    <s v="N!"/>
    <n v="8100"/>
    <n v="1982"/>
    <s v="N!"/>
    <n v="69"/>
    <n v="25"/>
    <n v="0"/>
    <n v="5"/>
    <n v="30"/>
    <n v="14"/>
    <n v="11"/>
    <n v="4"/>
    <n v="1"/>
    <n v="4"/>
    <n v="0"/>
    <n v="0"/>
  </r>
  <r>
    <s v="088"/>
    <d v="2013-03-02T00:00:00"/>
    <s v="Jimmy Marino's Full-Length Studio Album"/>
    <s v="Jimmy Marino"/>
    <s v="http://www.kickstarter.com/projects/jimmymarino/jimmy-marinos-full-length-studio-album?ref=card"/>
    <x v="5"/>
    <s v="Boston, MA"/>
    <s v="MA"/>
    <d v="2013-01-14T00:00:00"/>
    <d v="2013-02-13T00:00:00"/>
    <n v="1545"/>
    <n v="1500"/>
    <n v="43"/>
    <n v="1618"/>
    <x v="0"/>
    <n v="10"/>
    <n v="25"/>
    <n v="50"/>
    <n v="100"/>
    <n v="250"/>
    <n v="500"/>
    <n v="1000"/>
    <n v="10000"/>
    <m/>
    <m/>
    <m/>
    <m/>
    <m/>
    <m/>
    <m/>
    <m/>
    <m/>
    <m/>
    <m/>
    <m/>
    <m/>
    <m/>
    <m/>
    <m/>
    <m/>
    <m/>
    <m/>
    <m/>
    <m/>
    <m/>
    <m/>
    <m/>
    <m/>
    <m/>
    <m/>
    <n v="0"/>
    <n v="17"/>
    <n v="11"/>
    <n v="9"/>
    <n v="1"/>
    <n v="1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5"/>
    <n v="35.930232558139537"/>
    <s v="N!"/>
    <n v="1245"/>
    <n v="300"/>
    <s v="N!"/>
    <n v="39"/>
    <n v="4"/>
    <n v="0"/>
    <n v="17"/>
    <n v="11"/>
    <n v="9"/>
    <n v="1"/>
    <n v="1"/>
    <n v="0"/>
    <n v="0"/>
    <n v="0"/>
    <n v="0"/>
  </r>
  <r>
    <s v="089"/>
    <d v="2013-03-02T00:00:00"/>
    <s v="Lost Element is hitting the road with 10 Years!!"/>
    <s v="Lost Element"/>
    <s v="http://www.kickstarter.com/projects/lostelement/lost-element-is-hitting-the-road-with-10-years?ref=card"/>
    <x v="1"/>
    <s v="Houston, TX"/>
    <s v="TX"/>
    <d v="2013-01-24T00:00:00"/>
    <d v="2013-02-13T00:00:00"/>
    <n v="5700"/>
    <n v="5500"/>
    <n v="52"/>
    <m/>
    <x v="0"/>
    <n v="5"/>
    <n v="10"/>
    <n v="20"/>
    <n v="50"/>
    <n v="100"/>
    <n v="150"/>
    <n v="300"/>
    <n v="500"/>
    <n v="750"/>
    <n v="1000"/>
    <n v="2000"/>
    <n v="3500"/>
    <n v="5000"/>
    <m/>
    <m/>
    <m/>
    <m/>
    <m/>
    <m/>
    <m/>
    <m/>
    <m/>
    <m/>
    <m/>
    <m/>
    <m/>
    <m/>
    <m/>
    <m/>
    <m/>
    <m/>
    <m/>
    <m/>
    <m/>
    <m/>
    <n v="0"/>
    <n v="0"/>
    <n v="4"/>
    <n v="14"/>
    <n v="5"/>
    <n v="16"/>
    <n v="4"/>
    <n v="0"/>
    <n v="2"/>
    <n v="0"/>
    <n v="0"/>
    <n v="0"/>
    <n v="0"/>
    <n v="0"/>
    <m/>
    <m/>
    <m/>
    <m/>
    <m/>
    <m/>
    <m/>
    <m/>
    <m/>
    <m/>
    <m/>
    <m/>
    <m/>
    <m/>
    <m/>
    <m/>
    <m/>
    <m/>
    <m/>
    <m/>
    <m/>
    <m/>
    <x v="2"/>
    <n v="14"/>
    <n v="6"/>
    <n v="109.61538461538461"/>
    <s v="N!"/>
    <n v="3770"/>
    <n v="1930"/>
    <s v="N!"/>
    <n v="45"/>
    <n v="7"/>
    <n v="0"/>
    <n v="4"/>
    <n v="14"/>
    <n v="5"/>
    <n v="16"/>
    <n v="4"/>
    <n v="2"/>
    <n v="0"/>
    <n v="0"/>
    <n v="0"/>
  </r>
  <r>
    <s v="090"/>
    <d v="2013-03-02T00:00:00"/>
    <s v="The Land Trio Album!"/>
    <s v="The Land Trio"/>
    <s v="http://www.kickstarter.com/projects/thelandtrio/the-land-trio-album?ref=card"/>
    <x v="9"/>
    <s v="Los Angeles, CA"/>
    <s v="CA"/>
    <d v="2013-01-14T00:00:00"/>
    <d v="2013-02-13T00:00:00"/>
    <n v="3077"/>
    <n v="2500"/>
    <n v="88"/>
    <n v="870"/>
    <x v="1"/>
    <n v="15"/>
    <n v="20"/>
    <n v="25"/>
    <n v="100"/>
    <n v="300"/>
    <n v="500"/>
    <n v="1000"/>
    <n v="1500"/>
    <n v="2500"/>
    <m/>
    <m/>
    <m/>
    <m/>
    <m/>
    <m/>
    <m/>
    <m/>
    <m/>
    <m/>
    <m/>
    <m/>
    <m/>
    <m/>
    <m/>
    <m/>
    <m/>
    <m/>
    <m/>
    <m/>
    <m/>
    <m/>
    <m/>
    <m/>
    <m/>
    <m/>
    <n v="3"/>
    <n v="25"/>
    <n v="13"/>
    <n v="34"/>
    <n v="6"/>
    <n v="2"/>
    <n v="0"/>
    <n v="0"/>
    <n v="0"/>
    <n v="0"/>
    <m/>
    <m/>
    <m/>
    <m/>
    <m/>
    <m/>
    <m/>
    <m/>
    <m/>
    <m/>
    <m/>
    <m/>
    <m/>
    <m/>
    <m/>
    <m/>
    <m/>
    <m/>
    <m/>
    <m/>
    <m/>
    <m/>
    <m/>
    <m/>
    <m/>
    <m/>
    <x v="2"/>
    <n v="10"/>
    <n v="6"/>
    <n v="34.965909090909093"/>
    <s v="N!"/>
    <n v="2700"/>
    <n v="377"/>
    <s v="N!"/>
    <n v="83"/>
    <n v="5"/>
    <n v="3"/>
    <n v="0"/>
    <n v="72"/>
    <n v="0"/>
    <n v="6"/>
    <n v="0"/>
    <n v="2"/>
    <n v="0"/>
    <n v="0"/>
    <n v="0"/>
  </r>
  <r>
    <s v="091"/>
    <d v="2013-03-02T00:00:00"/>
    <s v="Frank Palangi &quot;I AM READY&quot; album funding"/>
    <s v="Frank"/>
    <s v="http://www.kickstarter.com/projects/frankpalangi/frank-palangi-i-am-ready-album-funding?ref=card"/>
    <x v="1"/>
    <s v="Glen Falls, NY"/>
    <s v="NY"/>
    <d v="2013-01-14T00:00:00"/>
    <d v="2013-02-13T00:00:00"/>
    <n v="60"/>
    <n v="50"/>
    <n v="4"/>
    <n v="2107"/>
    <x v="6"/>
    <n v="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1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2"/>
    <n v="1"/>
    <n v="15"/>
    <s v="N!"/>
    <n v="15"/>
    <n v="45"/>
    <s v="N!"/>
    <n v="1"/>
    <n v="3"/>
    <n v="0"/>
    <n v="0"/>
    <n v="1"/>
    <n v="0"/>
    <n v="0"/>
    <n v="0"/>
    <n v="0"/>
    <n v="0"/>
    <n v="0"/>
    <n v="0"/>
  </r>
  <r>
    <s v="092"/>
    <d v="2013-03-02T00:00:00"/>
    <s v="Help The Rose Factor Make A Record with Tedd T"/>
    <s v="Thomas Rose"/>
    <s v="http://www.kickstarter.com/projects/368098696/help-the-rose-factor-make-a-record-with-tedd-t?ref=card"/>
    <x v="5"/>
    <s v="Nashville Davidson (Balance), TN"/>
    <s v="TN"/>
    <d v="2013-01-03T00:00:00"/>
    <d v="2013-02-13T00:00:00"/>
    <n v="18000"/>
    <n v="17771"/>
    <n v="196"/>
    <n v="1611"/>
    <x v="0"/>
    <n v="10"/>
    <n v="25"/>
    <n v="45"/>
    <n v="50"/>
    <n v="75"/>
    <n v="100"/>
    <n v="150"/>
    <n v="200"/>
    <n v="250"/>
    <n v="300"/>
    <n v="500"/>
    <n v="1000"/>
    <n v="1000"/>
    <n v="1500"/>
    <n v="2000"/>
    <n v="2000"/>
    <m/>
    <m/>
    <m/>
    <m/>
    <m/>
    <m/>
    <m/>
    <m/>
    <m/>
    <m/>
    <m/>
    <m/>
    <m/>
    <m/>
    <m/>
    <m/>
    <m/>
    <m/>
    <m/>
    <n v="12"/>
    <n v="36"/>
    <n v="39"/>
    <n v="10"/>
    <n v="23"/>
    <n v="5"/>
    <n v="20"/>
    <n v="1"/>
    <n v="0"/>
    <n v="3"/>
    <n v="1"/>
    <n v="2"/>
    <n v="1"/>
    <n v="2"/>
    <n v="0"/>
    <n v="0"/>
    <n v="0"/>
    <m/>
    <m/>
    <m/>
    <m/>
    <m/>
    <m/>
    <m/>
    <m/>
    <m/>
    <m/>
    <m/>
    <m/>
    <m/>
    <m/>
    <m/>
    <m/>
    <m/>
    <m/>
    <m/>
    <x v="1"/>
    <n v="17"/>
    <n v="13"/>
    <n v="91.836734693877546"/>
    <s v="N!"/>
    <n v="7522"/>
    <n v="10478"/>
    <s v="N!"/>
    <n v="155"/>
    <n v="41"/>
    <n v="12"/>
    <n v="36"/>
    <n v="39"/>
    <n v="33"/>
    <n v="25"/>
    <n v="4"/>
    <n v="3"/>
    <n v="3"/>
    <n v="0"/>
    <n v="0"/>
  </r>
  <r>
    <s v="093"/>
    <d v="2013-03-02T00:00:00"/>
    <s v="Remedy Drive Spring Tour 2013"/>
    <s v="Remedy Drive"/>
    <s v="http://www.kickstarter.com/projects/305708358/remedy-drive-spring-tour-2013?ref=card"/>
    <x v="1"/>
    <s v="Brentwood, TN"/>
    <s v="TN"/>
    <d v="2013-01-19T00:00:00"/>
    <d v="2013-02-12T00:00:00"/>
    <n v="13843"/>
    <n v="10000"/>
    <n v="152"/>
    <n v="4765"/>
    <x v="1"/>
    <n v="12"/>
    <n v="20"/>
    <n v="30"/>
    <n v="40"/>
    <n v="75"/>
    <n v="200"/>
    <n v="1400"/>
    <n v="2500"/>
    <m/>
    <m/>
    <m/>
    <m/>
    <m/>
    <m/>
    <m/>
    <m/>
    <m/>
    <m/>
    <m/>
    <m/>
    <m/>
    <m/>
    <m/>
    <m/>
    <m/>
    <m/>
    <m/>
    <m/>
    <m/>
    <m/>
    <m/>
    <m/>
    <m/>
    <m/>
    <m/>
    <n v="10"/>
    <n v="15"/>
    <n v="34"/>
    <n v="17"/>
    <n v="46"/>
    <n v="11"/>
    <n v="7"/>
    <n v="0"/>
    <n v="3"/>
    <m/>
    <m/>
    <m/>
    <m/>
    <m/>
    <m/>
    <m/>
    <m/>
    <m/>
    <m/>
    <m/>
    <m/>
    <m/>
    <m/>
    <m/>
    <m/>
    <m/>
    <m/>
    <m/>
    <m/>
    <m/>
    <m/>
    <m/>
    <m/>
    <m/>
    <m/>
    <m/>
    <x v="1"/>
    <n v="9"/>
    <n v="8"/>
    <n v="91.07236842105263"/>
    <s v="N!"/>
    <n v="12985"/>
    <n v="858"/>
    <s v="N!"/>
    <n v="143"/>
    <n v="9"/>
    <n v="10"/>
    <n v="0"/>
    <n v="49"/>
    <n v="63"/>
    <n v="11"/>
    <n v="7"/>
    <n v="0"/>
    <n v="0"/>
    <n v="3"/>
    <n v="0"/>
  </r>
  <r>
    <s v="094"/>
    <d v="2013-03-02T00:00:00"/>
    <s v="The Soul Connection"/>
    <s v="Brian J Hull"/>
    <s v="http://www.kickstarter.com/projects/1862876889/the-soul-connection?ref=card"/>
    <x v="9"/>
    <s v="Fort Collins, CO"/>
    <s v="CO"/>
    <d v="2013-01-10T00:00:00"/>
    <d v="2013-02-12T00:00:00"/>
    <n v="2140"/>
    <n v="2000"/>
    <n v="44"/>
    <n v="410"/>
    <x v="6"/>
    <n v="50"/>
    <n v="100"/>
    <n v="5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24"/>
    <n v="9"/>
    <n v="4"/>
    <n v="1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2"/>
    <n v="4"/>
    <n v="4"/>
    <n v="48.636363636363633"/>
    <s v="N!"/>
    <n v="1710"/>
    <n v="430"/>
    <s v="N!"/>
    <n v="38"/>
    <n v="6"/>
    <n v="0"/>
    <n v="0"/>
    <n v="24"/>
    <n v="9"/>
    <n v="4"/>
    <n v="0"/>
    <n v="1"/>
    <n v="0"/>
    <n v="0"/>
    <n v="0"/>
  </r>
  <r>
    <s v="095"/>
    <d v="2013-03-02T00:00:00"/>
    <s v="Accents - &quot;Alright With Me&quot; Music Video"/>
    <s v="TJ Foster"/>
    <s v="http://www.kickstarter.com/projects/1167151466/accents-alright-with-me-music-video?ref=card"/>
    <x v="6"/>
    <s v="Albany, NY"/>
    <s v="NY"/>
    <d v="2013-01-08T00:00:00"/>
    <d v="2013-02-12T00:00:00"/>
    <n v="540"/>
    <n v="450"/>
    <n v="16"/>
    <m/>
    <x v="1"/>
    <n v="15"/>
    <n v="25"/>
    <n v="35"/>
    <n v="50"/>
    <n v="5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n v="3"/>
    <n v="4"/>
    <n v="3"/>
    <n v="0"/>
    <n v="3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x v="0"/>
    <n v="6"/>
    <n v="4"/>
    <n v="33.75"/>
    <s v="N!"/>
    <n v="300"/>
    <n v="240"/>
    <s v="N!"/>
    <n v="13"/>
    <n v="3"/>
    <n v="3"/>
    <n v="0"/>
    <n v="7"/>
    <n v="3"/>
    <n v="0"/>
    <n v="0"/>
    <n v="0"/>
    <n v="0"/>
    <n v="0"/>
    <n v="0"/>
  </r>
  <r>
    <s v="096"/>
    <d v="2013-03-02T00:00:00"/>
    <s v="Face The Day"/>
    <s v="Eli"/>
    <s v="http://www.kickstarter.com/projects/psdsp/face-the-day?ref=card"/>
    <x v="5"/>
    <s v="Fairfax, CA"/>
    <s v="CA"/>
    <d v="2012-12-31T00:00:00"/>
    <d v="2013-02-12T00:00:00"/>
    <n v="4005"/>
    <n v="3333"/>
    <n v="73"/>
    <n v="591"/>
    <x v="2"/>
    <n v="11"/>
    <n v="14"/>
    <n v="19"/>
    <n v="20"/>
    <n v="40"/>
    <n v="70"/>
    <n v="300"/>
    <n v="500"/>
    <m/>
    <m/>
    <m/>
    <m/>
    <m/>
    <m/>
    <m/>
    <m/>
    <m/>
    <m/>
    <m/>
    <m/>
    <m/>
    <m/>
    <m/>
    <m/>
    <m/>
    <m/>
    <m/>
    <m/>
    <m/>
    <m/>
    <m/>
    <m/>
    <m/>
    <m/>
    <m/>
    <n v="2"/>
    <n v="6"/>
    <n v="0"/>
    <n v="26"/>
    <n v="6"/>
    <n v="9"/>
    <n v="7"/>
    <n v="0"/>
    <n v="1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7"/>
    <n v="54.863013698630134"/>
    <s v="N!"/>
    <n v="2050"/>
    <n v="1955"/>
    <s v="N!"/>
    <n v="57"/>
    <n v="16"/>
    <n v="0"/>
    <n v="2"/>
    <n v="38"/>
    <n v="9"/>
    <n v="7"/>
    <n v="0"/>
    <n v="1"/>
    <n v="0"/>
    <n v="0"/>
    <n v="0"/>
  </r>
  <r>
    <s v="097"/>
    <d v="2013-03-02T00:00:00"/>
    <s v="Swimming With Bears :: NEW &amp; FIRST Full Feature Album!"/>
    <s v="Swimming With Bears"/>
    <s v="http://www.kickstarter.com/projects/682873850/swimming-with-bears-pledge-and-help-first-feature?ref=card"/>
    <x v="6"/>
    <s v="Austin, TX"/>
    <s v="TX"/>
    <d v="2012-12-14T00:00:00"/>
    <d v="2013-02-11T00:00:00"/>
    <n v="20000"/>
    <n v="20000"/>
    <n v="62"/>
    <n v="635"/>
    <x v="0"/>
    <n v="5"/>
    <n v="15"/>
    <n v="30"/>
    <n v="50"/>
    <n v="100"/>
    <n v="250"/>
    <n v="500"/>
    <n v="700"/>
    <n v="1000"/>
    <n v="1250"/>
    <m/>
    <m/>
    <m/>
    <m/>
    <m/>
    <m/>
    <m/>
    <m/>
    <m/>
    <m/>
    <m/>
    <m/>
    <m/>
    <m/>
    <m/>
    <m/>
    <m/>
    <m/>
    <m/>
    <m/>
    <m/>
    <m/>
    <m/>
    <m/>
    <m/>
    <n v="1"/>
    <n v="8"/>
    <n v="14"/>
    <n v="1"/>
    <n v="15"/>
    <n v="7"/>
    <n v="1"/>
    <n v="0"/>
    <n v="0"/>
    <n v="0"/>
    <n v="0"/>
    <m/>
    <m/>
    <m/>
    <m/>
    <m/>
    <m/>
    <m/>
    <m/>
    <m/>
    <m/>
    <m/>
    <m/>
    <m/>
    <m/>
    <m/>
    <m/>
    <m/>
    <m/>
    <m/>
    <m/>
    <m/>
    <m/>
    <m/>
    <m/>
    <m/>
    <x v="3"/>
    <n v="11"/>
    <n v="7"/>
    <n v="322.58064516129031"/>
    <s v="N!"/>
    <n v="1981"/>
    <n v="18019"/>
    <s v="N!"/>
    <n v="47"/>
    <n v="15"/>
    <n v="9"/>
    <n v="0"/>
    <n v="14"/>
    <n v="16"/>
    <n v="7"/>
    <n v="1"/>
    <n v="0"/>
    <n v="0"/>
    <n v="0"/>
    <n v="0"/>
  </r>
  <r>
    <s v="098"/>
    <d v="2013-03-02T00:00:00"/>
    <s v="I Is Another Is Ian And Jonah And You"/>
    <s v="JonahMatrangaDotCom"/>
    <s v="http://www.kickstarter.com/projects/jonahmatrangadotcom/i-is-another-is-ian-and-jonah-and-you?ref=card"/>
    <x v="6"/>
    <s v="Brooklyn, NY"/>
    <s v="NY"/>
    <d v="2013-01-24T00:00:00"/>
    <d v="2013-02-11T00:00:00"/>
    <n v="6611"/>
    <n v="3600"/>
    <n v="189"/>
    <n v="4606"/>
    <x v="0"/>
    <n v="9"/>
    <n v="18"/>
    <n v="36"/>
    <n v="36"/>
    <n v="36"/>
    <n v="72"/>
    <n v="90"/>
    <n v="180"/>
    <n v="360"/>
    <n v="360"/>
    <n v="900"/>
    <n v="1800"/>
    <n v="3600"/>
    <m/>
    <m/>
    <m/>
    <m/>
    <m/>
    <m/>
    <m/>
    <m/>
    <m/>
    <m/>
    <m/>
    <m/>
    <m/>
    <m/>
    <m/>
    <m/>
    <m/>
    <m/>
    <m/>
    <m/>
    <m/>
    <m/>
    <n v="42"/>
    <n v="29"/>
    <n v="52"/>
    <n v="10"/>
    <n v="19"/>
    <n v="10"/>
    <n v="2"/>
    <n v="16"/>
    <n v="3"/>
    <n v="2"/>
    <n v="2"/>
    <n v="0"/>
    <n v="0"/>
    <n v="0"/>
    <m/>
    <m/>
    <m/>
    <m/>
    <m/>
    <m/>
    <m/>
    <m/>
    <m/>
    <m/>
    <m/>
    <m/>
    <m/>
    <m/>
    <m/>
    <m/>
    <m/>
    <m/>
    <m/>
    <m/>
    <m/>
    <m/>
    <x v="2"/>
    <n v="14"/>
    <n v="11"/>
    <n v="34.978835978835981"/>
    <s v="N!"/>
    <n v="6207"/>
    <n v="404"/>
    <s v="N!"/>
    <n v="187"/>
    <n v="2"/>
    <n v="42"/>
    <n v="29"/>
    <n v="52"/>
    <n v="39"/>
    <n v="18"/>
    <n v="3"/>
    <n v="4"/>
    <n v="0"/>
    <n v="0"/>
    <n v="0"/>
  </r>
  <r>
    <s v="099"/>
    <d v="2013-03-02T00:00:00"/>
    <s v="New EP &quot;This Way Home&quot; from CR Smith!"/>
    <s v="CR Smith"/>
    <s v="http://www.kickstarter.com/projects/1407653995/new-ep-this-way-home-from-cr-smith?ref=card"/>
    <x v="5"/>
    <s v="Billings, MT"/>
    <s v="MT"/>
    <d v="2013-01-12T00:00:00"/>
    <d v="2013-02-11T00:00:00"/>
    <n v="7710"/>
    <n v="2000"/>
    <n v="72"/>
    <n v="679"/>
    <x v="1"/>
    <n v="10"/>
    <n v="15"/>
    <n v="20"/>
    <n v="50"/>
    <n v="100"/>
    <n v="200"/>
    <n v="500"/>
    <n v="1000"/>
    <m/>
    <m/>
    <m/>
    <m/>
    <m/>
    <m/>
    <m/>
    <m/>
    <m/>
    <m/>
    <m/>
    <m/>
    <m/>
    <m/>
    <m/>
    <m/>
    <m/>
    <m/>
    <m/>
    <m/>
    <m/>
    <m/>
    <m/>
    <m/>
    <m/>
    <m/>
    <m/>
    <n v="7"/>
    <n v="4"/>
    <n v="10"/>
    <n v="17"/>
    <n v="15"/>
    <n v="9"/>
    <n v="3"/>
    <n v="1"/>
    <n v="2"/>
    <m/>
    <m/>
    <m/>
    <m/>
    <m/>
    <m/>
    <m/>
    <m/>
    <m/>
    <m/>
    <m/>
    <m/>
    <m/>
    <m/>
    <m/>
    <m/>
    <m/>
    <m/>
    <m/>
    <m/>
    <m/>
    <m/>
    <m/>
    <m/>
    <m/>
    <m/>
    <m/>
    <x v="2"/>
    <n v="9"/>
    <n v="9"/>
    <n v="107.08333333333333"/>
    <s v="N!"/>
    <n v="5315"/>
    <n v="2395"/>
    <s v="N!"/>
    <n v="68"/>
    <n v="4"/>
    <n v="7"/>
    <n v="4"/>
    <n v="27"/>
    <n v="15"/>
    <n v="9"/>
    <n v="3"/>
    <n v="1"/>
    <n v="2"/>
    <n v="0"/>
    <n v="0"/>
  </r>
  <r>
    <s v="100"/>
    <d v="2013-03-02T00:00:00"/>
    <s v="Sirens &amp; Stars jazz singer/songwriter Chantal Thompson"/>
    <s v="Chantal Thompson"/>
    <s v="http://www.kickstarter.com/projects/238597852/sirens-and-stars-jazz-singer-songwriter-chantal-th?ref=card"/>
    <x v="8"/>
    <s v="Brooklyn, NY"/>
    <s v="NY"/>
    <d v="2012-12-13T00:00:00"/>
    <d v="2013-02-11T00:00:00"/>
    <n v="10647"/>
    <n v="10000"/>
    <n v="155"/>
    <n v="221"/>
    <x v="1"/>
    <n v="10"/>
    <n v="25"/>
    <n v="50"/>
    <n v="75"/>
    <n v="100"/>
    <n v="250"/>
    <n v="500"/>
    <n v="750"/>
    <n v="1000"/>
    <n v="2500"/>
    <n v="5000"/>
    <m/>
    <m/>
    <m/>
    <m/>
    <m/>
    <m/>
    <m/>
    <m/>
    <m/>
    <m/>
    <m/>
    <m/>
    <m/>
    <m/>
    <m/>
    <m/>
    <m/>
    <m/>
    <m/>
    <m/>
    <m/>
    <m/>
    <m/>
    <m/>
    <n v="0"/>
    <n v="30"/>
    <n v="69"/>
    <n v="25"/>
    <n v="4"/>
    <n v="13"/>
    <n v="0"/>
    <n v="1"/>
    <n v="0"/>
    <n v="1"/>
    <n v="0"/>
    <n v="0"/>
    <m/>
    <m/>
    <m/>
    <m/>
    <m/>
    <m/>
    <m/>
    <m/>
    <m/>
    <m/>
    <m/>
    <m/>
    <m/>
    <m/>
    <m/>
    <m/>
    <m/>
    <m/>
    <m/>
    <m/>
    <m/>
    <m/>
    <m/>
    <m/>
    <x v="1"/>
    <n v="12"/>
    <n v="7"/>
    <n v="68.690322580645159"/>
    <s v="N!"/>
    <n v="6375"/>
    <n v="4272"/>
    <s v="N!"/>
    <n v="143"/>
    <n v="12"/>
    <n v="0"/>
    <n v="30"/>
    <n v="69"/>
    <n v="25"/>
    <n v="17"/>
    <n v="0"/>
    <n v="1"/>
    <n v="1"/>
    <n v="0"/>
    <n v="0"/>
  </r>
  <r>
    <s v="101"/>
    <d v="2013-03-02T00:00:00"/>
    <s v="Virtual Choir 4: Bliss"/>
    <s v="Eric Whitacre"/>
    <s v="http://www.kickstarter.com/projects/2085483835/virtual-choir-4-bliss"/>
    <x v="5"/>
    <s v="New York, NY"/>
    <s v="NY"/>
    <d v="2013-12-15T00:00:00"/>
    <d v="2013-01-31T00:00:00"/>
    <n v="122555"/>
    <n v="100000"/>
    <n v="1938"/>
    <n v="4799"/>
    <x v="1"/>
    <n v="25"/>
    <n v="50"/>
    <n v="50"/>
    <n v="100"/>
    <n v="150"/>
    <n v="150"/>
    <n v="175"/>
    <n v="175"/>
    <n v="175"/>
    <n v="250"/>
    <n v="250"/>
    <n v="350"/>
    <n v="500"/>
    <n v="1000"/>
    <n v="5000"/>
    <n v="7500"/>
    <n v="10000"/>
    <m/>
    <m/>
    <m/>
    <m/>
    <m/>
    <m/>
    <m/>
    <m/>
    <m/>
    <m/>
    <m/>
    <m/>
    <m/>
    <m/>
    <m/>
    <m/>
    <m/>
    <m/>
    <n v="568"/>
    <n v="416"/>
    <n v="329"/>
    <n v="184"/>
    <n v="127"/>
    <n v="27"/>
    <n v="13"/>
    <n v="4"/>
    <n v="4"/>
    <n v="3"/>
    <n v="75"/>
    <n v="18"/>
    <n v="5"/>
    <n v="4"/>
    <n v="6"/>
    <n v="3"/>
    <n v="0"/>
    <n v="1"/>
    <m/>
    <m/>
    <m/>
    <m/>
    <m/>
    <m/>
    <m/>
    <m/>
    <m/>
    <m/>
    <m/>
    <m/>
    <m/>
    <m/>
    <m/>
    <m/>
    <m/>
    <m/>
    <x v="4"/>
    <n v="18"/>
    <n v="17"/>
    <n v="63.237874097007222"/>
    <s v="N!"/>
    <n v="82765"/>
    <n v="39790"/>
    <s v="N!"/>
    <n v="1787"/>
    <n v="151"/>
    <n v="568"/>
    <n v="0"/>
    <n v="416"/>
    <n v="513"/>
    <n v="127"/>
    <n v="144"/>
    <n v="9"/>
    <n v="6"/>
    <n v="0"/>
    <n v="4"/>
  </r>
  <r>
    <s v="102"/>
    <d v="2013-03-02T00:00:00"/>
    <s v="Amanda Palmer: The new RECORD, ART BOOK, and TOUR"/>
    <s v="Amanda Palmer"/>
    <s v="http://www.kickstarter.com/projects/amandapalmer/amanda-palmer-the-new-record-art-book-and-tour"/>
    <x v="5"/>
    <s v="Boston, MA"/>
    <s v="MA"/>
    <d v="2012-04-30T00:00:00"/>
    <d v="2012-05-31T00:00:00"/>
    <n v="1192793"/>
    <n v="100000"/>
    <n v="24883"/>
    <n v="4625"/>
    <x v="0"/>
    <n v="5"/>
    <n v="25"/>
    <n v="50"/>
    <n v="100"/>
    <n v="125"/>
    <n v="250"/>
    <n v="250"/>
    <n v="300"/>
    <n v="300"/>
    <n v="300"/>
    <n v="300"/>
    <n v="300"/>
    <n v="300"/>
    <n v="300"/>
    <n v="300"/>
    <n v="500"/>
    <n v="500"/>
    <n v="1000"/>
    <n v="1000"/>
    <n v="1000"/>
    <n v="5000"/>
    <n v="10000"/>
    <n v="10000"/>
    <m/>
    <m/>
    <m/>
    <m/>
    <m/>
    <m/>
    <m/>
    <m/>
    <m/>
    <m/>
    <m/>
    <m/>
    <n v="4744"/>
    <n v="6536"/>
    <n v="9333"/>
    <n v="1347"/>
    <n v="488"/>
    <n v="1603"/>
    <n v="5"/>
    <n v="65"/>
    <n v="298"/>
    <n v="50"/>
    <n v="88"/>
    <n v="74"/>
    <n v="83"/>
    <n v="46"/>
    <n v="50"/>
    <n v="6"/>
    <n v="38"/>
    <n v="6"/>
    <n v="4"/>
    <n v="28"/>
    <n v="72"/>
    <n v="34"/>
    <n v="2"/>
    <n v="0"/>
    <m/>
    <m/>
    <m/>
    <m/>
    <m/>
    <m/>
    <m/>
    <m/>
    <m/>
    <m/>
    <m/>
    <m/>
    <x v="5"/>
    <n v="24"/>
    <n v="23"/>
    <n v="47.936060764377288"/>
    <s v="N!"/>
    <n v="757774"/>
    <n v="435019"/>
    <s v="N!"/>
    <n v="25000"/>
    <n v="-117"/>
    <n v="11280"/>
    <n v="0"/>
    <n v="9333"/>
    <n v="1347"/>
    <n v="488"/>
    <n v="1673"/>
    <n v="739"/>
    <n v="104"/>
    <n v="0"/>
    <n v="3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24" applyNumberFormats="0" applyBorderFormats="0" applyFontFormats="0" applyPatternFormats="0" applyAlignmentFormats="0" applyWidthHeightFormats="1" dataCaption="KS " updatedVersion="4" minRefreshableVersion="3" useAutoFormatting="1" itemPrintTitles="1" createdVersion="4" indent="0" outline="1" outlineData="1" gridDropZones="1" multipleFieldFilters="0" rowHeaderCaption="Pledge Category and Genre">
  <location ref="A2:T33" firstHeaderRow="1" firstDataRow="2" firstDataCol="1"/>
  <pivotFields count="119">
    <pivotField showAll="0"/>
    <pivotField numFmtId="14" showAll="0"/>
    <pivotField dataField="1" showAll="0"/>
    <pivotField showAll="0"/>
    <pivotField showAll="0"/>
    <pivotField axis="axisRow" showAll="0">
      <items count="11">
        <item x="0"/>
        <item x="3"/>
        <item x="7"/>
        <item x="2"/>
        <item x="6"/>
        <item x="8"/>
        <item x="5"/>
        <item x="4"/>
        <item x="1"/>
        <item x="9"/>
        <item t="default"/>
      </items>
    </pivotField>
    <pivotField showAll="0"/>
    <pivotField showAll="0"/>
    <pivotField numFmtId="14" showAll="0"/>
    <pivotField numFmtId="14" showAll="0"/>
    <pivotField dataField="1" numFmtId="164" showAll="0"/>
    <pivotField dataField="1" numFmtId="164" showAll="0"/>
    <pivotField dataField="1" numFmtId="1" showAll="0" defaultSubtotal="0"/>
    <pivotField showAll="0"/>
    <pivotField numFmtId="16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 sortType="ascending">
      <items count="19">
        <item m="1" x="11"/>
        <item m="1" x="7"/>
        <item m="1" x="15"/>
        <item m="1" x="6"/>
        <item m="1" x="14"/>
        <item sd="0" m="1" x="12"/>
        <item x="0"/>
        <item sd="0" m="1" x="17"/>
        <item x="2"/>
        <item sd="0" m="1" x="9"/>
        <item x="1"/>
        <item sd="0" m="1" x="16"/>
        <item x="3"/>
        <item sd="0" m="1" x="8"/>
        <item h="1" x="4"/>
        <item h="1" sd="0" m="1" x="13"/>
        <item h="1" x="5"/>
        <item m="1" x="10"/>
        <item t="default"/>
      </items>
    </pivotField>
    <pivotField dataField="1" showAll="0" defaultSubtotal="0"/>
    <pivotField dataField="1" showAll="0"/>
    <pivotField numFmtId="165" showAll="0"/>
    <pivotField showAll="0"/>
    <pivotField numFmtId="164" showAll="0"/>
    <pivotField numFmtId="165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2">
    <field x="86"/>
    <field x="5"/>
  </rowFields>
  <rowItems count="30">
    <i>
      <x v="6"/>
    </i>
    <i r="1">
      <x/>
    </i>
    <i r="1">
      <x v="1"/>
    </i>
    <i r="1">
      <x v="4"/>
    </i>
    <i r="1">
      <x v="6"/>
    </i>
    <i r="1">
      <x v="8"/>
    </i>
    <i>
      <x v="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>
      <x v="10"/>
    </i>
    <i r="1">
      <x v="1"/>
    </i>
    <i r="1">
      <x v="4"/>
    </i>
    <i r="1">
      <x v="5"/>
    </i>
    <i r="1">
      <x v="6"/>
    </i>
    <i r="1">
      <x v="7"/>
    </i>
    <i r="1">
      <x v="8"/>
    </i>
    <i>
      <x v="12"/>
    </i>
    <i r="1">
      <x v="1"/>
    </i>
    <i r="1">
      <x v="4"/>
    </i>
    <i r="1">
      <x v="6"/>
    </i>
    <i r="1">
      <x v="7"/>
    </i>
    <i t="grand">
      <x/>
    </i>
  </rowItems>
  <colFields count="1">
    <field x="-2"/>
  </colFields>
  <colItems count="1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</colItems>
  <dataFields count="19">
    <dataField name="Qty" fld="2" subtotal="count" baseField="0" baseItem="0"/>
    <dataField name="Avg Goal" fld="11" subtotal="average" baseField="0" baseItem="0" numFmtId="164"/>
    <dataField name="Avg Pledge" fld="10" subtotal="average" baseField="0" baseItem="0" numFmtId="164"/>
    <dataField name="Avg Backers" fld="12" subtotal="average" baseField="0" baseItem="0" numFmtId="1"/>
    <dataField name="Avg Pledge/Backer" fld="106" subtotal="average" baseField="0" baseItem="0" numFmtId="164"/>
    <dataField name="Avg Backers/FB Friends" fld="107" subtotal="average" baseField="0" baseItem="0" numFmtId="9"/>
    <dataField name="Avg Rewards Offered" fld="87" subtotal="average" baseField="0" baseItem="0" numFmtId="1"/>
    <dataField name="Avg Rewards Backed" fld="88" subtotal="average" baseField="0" baseItem="0" numFmtId="1"/>
    <dataField name="&gt;$0-$5 " fld="108" subtotal="average" baseField="0" baseItem="0" numFmtId="10"/>
    <dataField name="&gt;$5-$10 " fld="109" subtotal="average" baseField="0" baseItem="0" numFmtId="10"/>
    <dataField name="&gt;$10-$25 " fld="110" subtotal="average" baseField="0" baseItem="0" numFmtId="10"/>
    <dataField name="&gt;$25-$50 " fld="111" subtotal="average" baseField="0" baseItem="0" numFmtId="10"/>
    <dataField name="&gt;$50-$100 " fld="112" subtotal="average" baseField="0" baseItem="0" numFmtId="10"/>
    <dataField name="&gt;$100-$250 " fld="113" subtotal="average" baseField="0" baseItem="0" numFmtId="10"/>
    <dataField name="&gt;$250-$500  " fld="114" subtotal="average" baseField="0" baseItem="0" numFmtId="10"/>
    <dataField name="&gt;$500-$1,000 " fld="115" subtotal="average" baseField="0" baseItem="0" numFmtId="10"/>
    <dataField name="&gt;$1,000-$2,500  " fld="116" subtotal="average" baseField="0" baseItem="0" numFmtId="10"/>
    <dataField name="&gt;$2,501 " fld="117" subtotal="average" baseField="0" baseItem="0" numFmtId="10"/>
    <dataField name="Undisclosed Backers  " fld="118" subtotal="average" baseField="0" baseItem="0" numFmtId="10"/>
  </dataFields>
  <formats count="26">
    <format dxfId="113">
      <pivotArea field="86" type="button" dataOnly="0" labelOnly="1" outline="0" axis="axisRow" fieldPosition="0"/>
    </format>
    <format dxfId="11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11">
      <pivotArea field="-2" type="button" dataOnly="0" labelOnly="1" outline="0" axis="axisCol" fieldPosition="0"/>
    </format>
    <format dxfId="110">
      <pivotArea outline="0" fieldPosition="0">
        <references count="1">
          <reference field="4294967294" count="1">
            <x v="2"/>
          </reference>
        </references>
      </pivotArea>
    </format>
    <format dxfId="109">
      <pivotArea field="-2" type="button" dataOnly="0" labelOnly="1" outline="0" axis="axisCol" fieldPosition="0"/>
    </format>
    <format dxfId="108">
      <pivotArea outline="0" fieldPosition="0">
        <references count="1">
          <reference field="4294967294" count="1">
            <x v="3"/>
          </reference>
        </references>
      </pivotArea>
    </format>
    <format dxfId="107">
      <pivotArea outline="0" fieldPosition="0">
        <references count="1">
          <reference field="4294967294" count="1">
            <x v="1"/>
          </reference>
        </references>
      </pivotArea>
    </format>
    <format dxfId="106">
      <pivotArea outline="0" fieldPosition="0">
        <references count="1">
          <reference field="4294967294" count="1">
            <x v="4"/>
          </reference>
        </references>
      </pivotArea>
    </format>
    <format dxfId="105">
      <pivotArea outline="0" fieldPosition="0">
        <references count="1">
          <reference field="4294967294" count="1">
            <x v="5"/>
          </reference>
        </references>
      </pivotArea>
    </format>
    <format dxfId="104">
      <pivotArea collapsedLevelsAreSubtotals="1" fieldPosition="0">
        <references count="3">
          <reference field="4294967294" count="1" selected="0">
            <x v="5"/>
          </reference>
          <reference field="5" count="1">
            <x v="2"/>
          </reference>
          <reference field="86" count="1" selected="0">
            <x v="8"/>
          </reference>
        </references>
      </pivotArea>
    </format>
    <format dxfId="103">
      <pivotArea collapsedLevelsAreSubtotals="1" fieldPosition="0">
        <references count="3">
          <reference field="4294967294" count="1" selected="0">
            <x v="5"/>
          </reference>
          <reference field="5" count="1">
            <x v="1"/>
          </reference>
          <reference field="86" count="1" selected="0">
            <x v="12"/>
          </reference>
        </references>
      </pivotArea>
    </format>
    <format dxfId="102">
      <pivotArea outline="0" fieldPosition="0">
        <references count="1">
          <reference field="4294967294" count="1">
            <x v="6"/>
          </reference>
        </references>
      </pivotArea>
    </format>
    <format dxfId="101">
      <pivotArea outline="0" fieldPosition="0">
        <references count="1">
          <reference field="4294967294" count="1">
            <x v="7"/>
          </reference>
        </references>
      </pivotArea>
    </format>
    <format dxfId="100">
      <pivotArea outline="0" fieldPosition="0">
        <references count="1">
          <reference field="4294967294" count="1">
            <x v="8"/>
          </reference>
        </references>
      </pivotArea>
    </format>
    <format dxfId="99">
      <pivotArea outline="0" fieldPosition="0">
        <references count="1">
          <reference field="4294967294" count="1">
            <x v="9"/>
          </reference>
        </references>
      </pivotArea>
    </format>
    <format dxfId="98">
      <pivotArea outline="0" fieldPosition="0">
        <references count="1">
          <reference field="4294967294" count="1">
            <x v="10"/>
          </reference>
        </references>
      </pivotArea>
    </format>
    <format dxfId="97">
      <pivotArea outline="0" fieldPosition="0">
        <references count="1">
          <reference field="4294967294" count="1">
            <x v="11"/>
          </reference>
        </references>
      </pivotArea>
    </format>
    <format dxfId="96">
      <pivotArea outline="0" fieldPosition="0">
        <references count="1">
          <reference field="4294967294" count="1">
            <x v="12"/>
          </reference>
        </references>
      </pivotArea>
    </format>
    <format dxfId="95">
      <pivotArea outline="0" fieldPosition="0">
        <references count="1">
          <reference field="4294967294" count="1">
            <x v="13"/>
          </reference>
        </references>
      </pivotArea>
    </format>
    <format dxfId="94">
      <pivotArea outline="0" fieldPosition="0">
        <references count="1">
          <reference field="4294967294" count="1">
            <x v="14"/>
          </reference>
        </references>
      </pivotArea>
    </format>
    <format dxfId="93">
      <pivotArea outline="0" fieldPosition="0">
        <references count="1">
          <reference field="4294967294" count="1">
            <x v="15"/>
          </reference>
        </references>
      </pivotArea>
    </format>
    <format dxfId="92">
      <pivotArea outline="0" fieldPosition="0">
        <references count="1">
          <reference field="4294967294" count="1">
            <x v="16"/>
          </reference>
        </references>
      </pivotArea>
    </format>
    <format dxfId="91">
      <pivotArea outline="0" fieldPosition="0">
        <references count="1">
          <reference field="4294967294" count="1">
            <x v="17"/>
          </reference>
        </references>
      </pivotArea>
    </format>
    <format dxfId="90">
      <pivotArea outline="0" fieldPosition="0">
        <references count="1">
          <reference field="4294967294" count="1">
            <x v="18"/>
          </reference>
        </references>
      </pivotArea>
    </format>
    <format dxfId="89">
      <pivotArea dataOnly="0" labelOnly="1" outline="0" fieldPosition="0">
        <references count="1">
          <reference field="4294967294" count="4">
            <x v="4"/>
            <x v="5"/>
            <x v="6"/>
            <x v="7"/>
          </reference>
        </references>
      </pivotArea>
    </format>
    <format dxfId="88">
      <pivotArea dataOnly="0" labelOnly="1" outline="0" fieldPosition="0">
        <references count="1">
          <reference field="4294967294" count="1">
            <x v="18"/>
          </reference>
        </references>
      </pivotArea>
    </format>
  </formats>
  <pivotTableStyleInfo name="PivotStyleMedium2" showRowHeaders="1" showColHeaders="1" showRowStripes="0" showColStripes="0" showLastColumn="1"/>
  <filters count="1">
    <filter fld="11" type="captionBetween" evalOrder="-1" id="7" stringValue1="0" stringValue2="999.99">
      <autoFilter ref="A1">
        <filterColumn colId="0">
          <customFilters and="1">
            <customFilter operator="greaterThanOrEqual" val="0"/>
            <customFilter operator="lessThanOrEqual" val="999.99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3" cacheId="24" applyNumberFormats="0" applyBorderFormats="0" applyFontFormats="0" applyPatternFormats="0" applyAlignmentFormats="0" applyWidthHeightFormats="1" dataCaption="KS " updatedVersion="4" minRefreshableVersion="3" useAutoFormatting="1" itemPrintTitles="1" createdVersion="4" indent="0" outline="1" outlineData="1" gridDropZones="1" multipleFieldFilters="0" rowHeaderCaption="Pledge Category and Genre">
  <location ref="A2:T8" firstHeaderRow="1" firstDataRow="2" firstDataCol="1"/>
  <pivotFields count="119">
    <pivotField showAll="0"/>
    <pivotField numFmtId="14" showAll="0"/>
    <pivotField dataField="1" showAll="0"/>
    <pivotField showAll="0"/>
    <pivotField showAll="0"/>
    <pivotField axis="axisRow" showAll="0">
      <items count="11">
        <item x="0"/>
        <item x="3"/>
        <item x="7"/>
        <item x="2"/>
        <item x="6"/>
        <item x="8"/>
        <item x="5"/>
        <item x="4"/>
        <item x="1"/>
        <item x="9"/>
        <item t="default"/>
      </items>
    </pivotField>
    <pivotField showAll="0"/>
    <pivotField showAll="0"/>
    <pivotField numFmtId="14" showAll="0"/>
    <pivotField numFmtId="14" showAll="0"/>
    <pivotField dataField="1" numFmtId="164" showAll="0"/>
    <pivotField dataField="1" numFmtId="164" showAll="0"/>
    <pivotField dataField="1" numFmtId="1" showAll="0" defaultSubtotal="0"/>
    <pivotField showAll="0"/>
    <pivotField numFmtId="16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 sortType="ascending">
      <items count="19">
        <item m="1" x="11"/>
        <item m="1" x="7"/>
        <item m="1" x="15"/>
        <item m="1" x="6"/>
        <item m="1" x="14"/>
        <item sd="0" m="1" x="12"/>
        <item sd="0" x="0"/>
        <item sd="0" m="1" x="17"/>
        <item sd="0" x="2"/>
        <item sd="0" m="1" x="9"/>
        <item sd="0" x="1"/>
        <item sd="0" m="1" x="16"/>
        <item sd="0" x="3"/>
        <item sd="0" m="1" x="8"/>
        <item h="1" x="4"/>
        <item h="1" sd="0" m="1" x="13"/>
        <item h="1" x="5"/>
        <item m="1" x="10"/>
        <item t="default"/>
      </items>
    </pivotField>
    <pivotField dataField="1" showAll="0" defaultSubtotal="0"/>
    <pivotField dataField="1" showAll="0"/>
    <pivotField numFmtId="165" showAll="0"/>
    <pivotField showAll="0"/>
    <pivotField numFmtId="164" showAll="0"/>
    <pivotField numFmtId="165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2">
    <field x="86"/>
    <field x="5"/>
  </rowFields>
  <rowItems count="5">
    <i>
      <x v="6"/>
    </i>
    <i>
      <x v="8"/>
    </i>
    <i>
      <x v="10"/>
    </i>
    <i>
      <x v="12"/>
    </i>
    <i t="grand">
      <x/>
    </i>
  </rowItems>
  <colFields count="1">
    <field x="-2"/>
  </colFields>
  <colItems count="1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</colItems>
  <dataFields count="19">
    <dataField name="Qty" fld="2" subtotal="count" baseField="0" baseItem="0"/>
    <dataField name="Avg Goal" fld="11" subtotal="average" baseField="0" baseItem="0" numFmtId="164"/>
    <dataField name="Avg Pledge" fld="10" subtotal="average" baseField="0" baseItem="0" numFmtId="164"/>
    <dataField name="Avg Backers" fld="12" subtotal="average" baseField="0" baseItem="0" numFmtId="1"/>
    <dataField name="Avg Pledge/Backer" fld="106" subtotal="average" baseField="0" baseItem="0" numFmtId="164"/>
    <dataField name="Avg Backers/FB Friends" fld="107" subtotal="average" baseField="0" baseItem="0" numFmtId="9"/>
    <dataField name="Avg Rewards Offered" fld="87" subtotal="average" baseField="0" baseItem="0" numFmtId="1"/>
    <dataField name="Avg Rewards Backed" fld="88" subtotal="average" baseField="0" baseItem="0" numFmtId="1"/>
    <dataField name="&gt;$0-$5 " fld="108" subtotal="average" baseField="0" baseItem="0" numFmtId="10"/>
    <dataField name="&gt;$5-$10 " fld="109" subtotal="average" baseField="0" baseItem="0" numFmtId="10"/>
    <dataField name="&gt;$10-$25 " fld="110" subtotal="average" baseField="0" baseItem="0" numFmtId="10"/>
    <dataField name="&gt;$25-$50 " fld="111" subtotal="average" baseField="0" baseItem="0" numFmtId="10"/>
    <dataField name="&gt;$50-$100 " fld="112" subtotal="average" baseField="0" baseItem="0" numFmtId="10"/>
    <dataField name="&gt;$100-$250 " fld="113" subtotal="average" baseField="0" baseItem="0" numFmtId="10"/>
    <dataField name="&gt;$250-$500  " fld="114" subtotal="average" baseField="0" baseItem="0" numFmtId="10"/>
    <dataField name="&gt;$500-$1,000 " fld="115" subtotal="average" baseField="0" baseItem="0" numFmtId="10"/>
    <dataField name="&gt;$1,000-$2,500  " fld="116" subtotal="average" baseField="0" baseItem="0" numFmtId="10"/>
    <dataField name="&gt;$2,501 " fld="117" subtotal="average" baseField="0" baseItem="0" numFmtId="10"/>
    <dataField name="Undisclosed Backers  " fld="118" subtotal="average" baseField="0" baseItem="0" numFmtId="10"/>
  </dataFields>
  <formats count="26">
    <format dxfId="85">
      <pivotArea field="86" type="button" dataOnly="0" labelOnly="1" outline="0" axis="axisRow" fieldPosition="0"/>
    </format>
    <format dxfId="8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3">
      <pivotArea field="-2" type="button" dataOnly="0" labelOnly="1" outline="0" axis="axisCol" fieldPosition="0"/>
    </format>
    <format dxfId="82">
      <pivotArea outline="0" fieldPosition="0">
        <references count="1">
          <reference field="4294967294" count="1">
            <x v="2"/>
          </reference>
        </references>
      </pivotArea>
    </format>
    <format dxfId="81">
      <pivotArea field="-2" type="button" dataOnly="0" labelOnly="1" outline="0" axis="axisCol" fieldPosition="0"/>
    </format>
    <format dxfId="80">
      <pivotArea outline="0" fieldPosition="0">
        <references count="1">
          <reference field="4294967294" count="1">
            <x v="3"/>
          </reference>
        </references>
      </pivotArea>
    </format>
    <format dxfId="79">
      <pivotArea outline="0" fieldPosition="0">
        <references count="1">
          <reference field="4294967294" count="1">
            <x v="1"/>
          </reference>
        </references>
      </pivotArea>
    </format>
    <format dxfId="78">
      <pivotArea outline="0" fieldPosition="0">
        <references count="1">
          <reference field="4294967294" count="1">
            <x v="4"/>
          </reference>
        </references>
      </pivotArea>
    </format>
    <format dxfId="77">
      <pivotArea outline="0" fieldPosition="0">
        <references count="1">
          <reference field="4294967294" count="1">
            <x v="5"/>
          </reference>
        </references>
      </pivotArea>
    </format>
    <format dxfId="76">
      <pivotArea collapsedLevelsAreSubtotals="1" fieldPosition="0">
        <references count="3">
          <reference field="4294967294" count="1" selected="0">
            <x v="5"/>
          </reference>
          <reference field="5" count="1">
            <x v="2"/>
          </reference>
          <reference field="86" count="1" selected="0">
            <x v="8"/>
          </reference>
        </references>
      </pivotArea>
    </format>
    <format dxfId="75">
      <pivotArea collapsedLevelsAreSubtotals="1" fieldPosition="0">
        <references count="3">
          <reference field="4294967294" count="1" selected="0">
            <x v="5"/>
          </reference>
          <reference field="5" count="1">
            <x v="1"/>
          </reference>
          <reference field="86" count="1" selected="0">
            <x v="12"/>
          </reference>
        </references>
      </pivotArea>
    </format>
    <format dxfId="74">
      <pivotArea outline="0" fieldPosition="0">
        <references count="1">
          <reference field="4294967294" count="1">
            <x v="6"/>
          </reference>
        </references>
      </pivotArea>
    </format>
    <format dxfId="73">
      <pivotArea outline="0" fieldPosition="0">
        <references count="1">
          <reference field="4294967294" count="1">
            <x v="7"/>
          </reference>
        </references>
      </pivotArea>
    </format>
    <format dxfId="72">
      <pivotArea outline="0" fieldPosition="0">
        <references count="1">
          <reference field="4294967294" count="1">
            <x v="8"/>
          </reference>
        </references>
      </pivotArea>
    </format>
    <format dxfId="71">
      <pivotArea outline="0" fieldPosition="0">
        <references count="1">
          <reference field="4294967294" count="1">
            <x v="9"/>
          </reference>
        </references>
      </pivotArea>
    </format>
    <format dxfId="70">
      <pivotArea outline="0" fieldPosition="0">
        <references count="1">
          <reference field="4294967294" count="1">
            <x v="10"/>
          </reference>
        </references>
      </pivotArea>
    </format>
    <format dxfId="69">
      <pivotArea outline="0" fieldPosition="0">
        <references count="1">
          <reference field="4294967294" count="1">
            <x v="11"/>
          </reference>
        </references>
      </pivotArea>
    </format>
    <format dxfId="68">
      <pivotArea outline="0" fieldPosition="0">
        <references count="1">
          <reference field="4294967294" count="1">
            <x v="12"/>
          </reference>
        </references>
      </pivotArea>
    </format>
    <format dxfId="67">
      <pivotArea outline="0" fieldPosition="0">
        <references count="1">
          <reference field="4294967294" count="1">
            <x v="13"/>
          </reference>
        </references>
      </pivotArea>
    </format>
    <format dxfId="66">
      <pivotArea outline="0" fieldPosition="0">
        <references count="1">
          <reference field="4294967294" count="1">
            <x v="14"/>
          </reference>
        </references>
      </pivotArea>
    </format>
    <format dxfId="65">
      <pivotArea outline="0" fieldPosition="0">
        <references count="1">
          <reference field="4294967294" count="1">
            <x v="15"/>
          </reference>
        </references>
      </pivotArea>
    </format>
    <format dxfId="64">
      <pivotArea outline="0" fieldPosition="0">
        <references count="1">
          <reference field="4294967294" count="1">
            <x v="16"/>
          </reference>
        </references>
      </pivotArea>
    </format>
    <format dxfId="63">
      <pivotArea outline="0" fieldPosition="0">
        <references count="1">
          <reference field="4294967294" count="1">
            <x v="17"/>
          </reference>
        </references>
      </pivotArea>
    </format>
    <format dxfId="62">
      <pivotArea outline="0" fieldPosition="0">
        <references count="1">
          <reference field="4294967294" count="1">
            <x v="18"/>
          </reference>
        </references>
      </pivotArea>
    </format>
    <format dxfId="61">
      <pivotArea dataOnly="0" labelOnly="1" outline="0" fieldPosition="0">
        <references count="1">
          <reference field="4294967294" count="4">
            <x v="4"/>
            <x v="5"/>
            <x v="6"/>
            <x v="7"/>
          </reference>
        </references>
      </pivotArea>
    </format>
    <format dxfId="60">
      <pivotArea dataOnly="0" labelOnly="1" outline="0" fieldPosition="0">
        <references count="1">
          <reference field="4294967294" count="1">
            <x v="18"/>
          </reference>
        </references>
      </pivotArea>
    </format>
  </formats>
  <pivotTableStyleInfo name="PivotStyleMedium2" showRowHeaders="1" showColHeaders="1" showRowStripes="0" showColStripes="0" showLastColumn="1"/>
  <filters count="1">
    <filter fld="11" type="captionBetween" evalOrder="-1" id="7" stringValue1="0" stringValue2="999.99">
      <autoFilter ref="A1">
        <filterColumn colId="0">
          <customFilters and="1">
            <customFilter operator="greaterThanOrEqual" val="0"/>
            <customFilter operator="lessThanOrEqual" val="999.99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le3" cacheId="24" applyNumberFormats="0" applyBorderFormats="0" applyFontFormats="0" applyPatternFormats="0" applyAlignmentFormats="0" applyWidthHeightFormats="1" dataCaption="." updatedVersion="4" minRefreshableVersion="3" useAutoFormatting="1" itemPrintTitles="1" createdVersion="4" indent="0" outline="1" outlineData="1" gridDropZones="1" multipleFieldFilters="0" rowHeaderCaption="Pledge Category and Genre">
  <location ref="A2:T33" firstHeaderRow="1" firstDataRow="2" firstDataCol="1"/>
  <pivotFields count="119">
    <pivotField showAll="0"/>
    <pivotField numFmtId="14" showAll="0"/>
    <pivotField dataField="1" showAll="0"/>
    <pivotField showAll="0"/>
    <pivotField showAll="0"/>
    <pivotField axis="axisRow" showAll="0">
      <items count="11">
        <item x="0"/>
        <item x="3"/>
        <item x="7"/>
        <item x="2"/>
        <item x="6"/>
        <item x="8"/>
        <item x="5"/>
        <item x="4"/>
        <item x="1"/>
        <item x="9"/>
        <item t="default"/>
      </items>
    </pivotField>
    <pivotField showAll="0"/>
    <pivotField showAll="0"/>
    <pivotField numFmtId="14" showAll="0"/>
    <pivotField numFmtId="14" showAll="0"/>
    <pivotField dataField="1" numFmtId="164" showAll="0"/>
    <pivotField dataField="1" numFmtId="164" showAll="0"/>
    <pivotField dataField="1" numFmtId="1" showAll="0" defaultSubtotal="0"/>
    <pivotField showAll="0"/>
    <pivotField numFmtId="16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 sortType="ascending">
      <items count="19">
        <item m="1" x="11"/>
        <item m="1" x="7"/>
        <item h="1" m="1" x="15"/>
        <item h="1" m="1" x="6"/>
        <item m="1" x="14"/>
        <item sd="0" m="1" x="12"/>
        <item x="0"/>
        <item sd="0" m="1" x="17"/>
        <item x="2"/>
        <item sd="0" m="1" x="9"/>
        <item x="1"/>
        <item sd="0" m="1" x="16"/>
        <item x="3"/>
        <item h="1" sd="0" m="1" x="8"/>
        <item h="1" x="4"/>
        <item h="1" sd="0" m="1" x="13"/>
        <item h="1" x="5"/>
        <item m="1" x="10"/>
        <item t="default"/>
      </items>
    </pivotField>
    <pivotField dataField="1" showAll="0" defaultSubtotal="0"/>
    <pivotField dataField="1" showAll="0"/>
    <pivotField numFmtId="165" showAll="0"/>
    <pivotField showAll="0"/>
    <pivotField numFmtId="164" showAll="0"/>
    <pivotField numFmtId="165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2">
    <field x="86"/>
    <field x="5"/>
  </rowFields>
  <rowItems count="30">
    <i>
      <x v="6"/>
    </i>
    <i r="1">
      <x/>
    </i>
    <i r="1">
      <x v="1"/>
    </i>
    <i r="1">
      <x v="4"/>
    </i>
    <i r="1">
      <x v="6"/>
    </i>
    <i r="1">
      <x v="8"/>
    </i>
    <i>
      <x v="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>
      <x v="10"/>
    </i>
    <i r="1">
      <x v="1"/>
    </i>
    <i r="1">
      <x v="4"/>
    </i>
    <i r="1">
      <x v="5"/>
    </i>
    <i r="1">
      <x v="6"/>
    </i>
    <i r="1">
      <x v="7"/>
    </i>
    <i r="1">
      <x v="8"/>
    </i>
    <i>
      <x v="12"/>
    </i>
    <i r="1">
      <x v="1"/>
    </i>
    <i r="1">
      <x v="4"/>
    </i>
    <i r="1">
      <x v="6"/>
    </i>
    <i r="1">
      <x v="7"/>
    </i>
    <i t="grand">
      <x/>
    </i>
  </rowItems>
  <colFields count="1">
    <field x="-2"/>
  </colFields>
  <colItems count="1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</colItems>
  <dataFields count="19">
    <dataField name="Qty" fld="2" subtotal="count" baseField="0" baseItem="0"/>
    <dataField name="Avg Goal" fld="11" subtotal="average" baseField="0" baseItem="0" numFmtId="164"/>
    <dataField name="Avg Pledge" fld="10" subtotal="average" baseField="0" baseItem="0" numFmtId="164"/>
    <dataField name="Avg Backers" fld="12" subtotal="average" baseField="0" baseItem="0" numFmtId="1"/>
    <dataField name="Avg Pledge/Backer" fld="106" subtotal="average" baseField="0" baseItem="0" numFmtId="164"/>
    <dataField name="Avg Backers/FB Friends" fld="107" subtotal="average" baseField="0" baseItem="0" numFmtId="9"/>
    <dataField name="Avg Rewards Offered" fld="87" subtotal="average" baseField="0" baseItem="0" numFmtId="1"/>
    <dataField name="Avg Rewards Backed" fld="88" subtotal="average" baseField="0" baseItem="0" numFmtId="1"/>
    <dataField name="&gt;$0-$5 " fld="108" subtotal="average" baseField="0" baseItem="0" numFmtId="10"/>
    <dataField name="&gt;$5-$10 " fld="109" subtotal="average" baseField="0" baseItem="0" numFmtId="10"/>
    <dataField name="&gt;$10-$25 " fld="110" subtotal="average" baseField="0" baseItem="0" numFmtId="10"/>
    <dataField name="&gt;$25-$50 " fld="111" subtotal="average" baseField="0" baseItem="0" numFmtId="10"/>
    <dataField name="&gt;$50-$100 " fld="112" subtotal="average" baseField="0" baseItem="0" numFmtId="10"/>
    <dataField name="&gt;$100-$250 " fld="113" subtotal="average" baseField="0" baseItem="0" numFmtId="10"/>
    <dataField name="&gt;$250-$500  " fld="114" subtotal="average" baseField="0" baseItem="0" numFmtId="10"/>
    <dataField name="&gt;$500-$1,000 " fld="115" subtotal="average" baseField="0" baseItem="0" numFmtId="10"/>
    <dataField name="&gt;$1,000-$2,500  " fld="116" subtotal="average" baseField="0" baseItem="0" numFmtId="10"/>
    <dataField name="&gt;$2,501 " fld="117" subtotal="average" baseField="0" baseItem="0" numFmtId="10"/>
    <dataField name="Undisclosed Backers  " fld="118" subtotal="average" baseField="0" baseItem="0" numFmtId="10"/>
  </dataFields>
  <formats count="32">
    <format dxfId="59">
      <pivotArea field="86" type="button" dataOnly="0" labelOnly="1" outline="0" axis="axisRow" fieldPosition="0"/>
    </format>
    <format dxfId="5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7">
      <pivotArea field="-2" type="button" dataOnly="0" labelOnly="1" outline="0" axis="axisCol" fieldPosition="0"/>
    </format>
    <format dxfId="56">
      <pivotArea outline="0" fieldPosition="0">
        <references count="1">
          <reference field="4294967294" count="1">
            <x v="2"/>
          </reference>
        </references>
      </pivotArea>
    </format>
    <format dxfId="55">
      <pivotArea outline="0" fieldPosition="0">
        <references count="1">
          <reference field="4294967294" count="1">
            <x v="3"/>
          </reference>
        </references>
      </pivotArea>
    </format>
    <format dxfId="54">
      <pivotArea outline="0" fieldPosition="0">
        <references count="1">
          <reference field="4294967294" count="1">
            <x v="1"/>
          </reference>
        </references>
      </pivotArea>
    </format>
    <format dxfId="53">
      <pivotArea outline="0" fieldPosition="0">
        <references count="1">
          <reference field="4294967294" count="1">
            <x v="4"/>
          </reference>
        </references>
      </pivotArea>
    </format>
    <format dxfId="52">
      <pivotArea outline="0" fieldPosition="0">
        <references count="1">
          <reference field="4294967294" count="1">
            <x v="5"/>
          </reference>
        </references>
      </pivotArea>
    </format>
    <format dxfId="51">
      <pivotArea collapsedLevelsAreSubtotals="1" fieldPosition="0">
        <references count="3">
          <reference field="4294967294" count="1" selected="0">
            <x v="5"/>
          </reference>
          <reference field="5" count="1">
            <x v="2"/>
          </reference>
          <reference field="86" count="1" selected="0">
            <x v="8"/>
          </reference>
        </references>
      </pivotArea>
    </format>
    <format dxfId="50">
      <pivotArea collapsedLevelsAreSubtotals="1" fieldPosition="0">
        <references count="3">
          <reference field="4294967294" count="1" selected="0">
            <x v="5"/>
          </reference>
          <reference field="5" count="1">
            <x v="1"/>
          </reference>
          <reference field="86" count="1" selected="0">
            <x v="12"/>
          </reference>
        </references>
      </pivotArea>
    </format>
    <format dxfId="49">
      <pivotArea outline="0" fieldPosition="0">
        <references count="1">
          <reference field="4294967294" count="1">
            <x v="6"/>
          </reference>
        </references>
      </pivotArea>
    </format>
    <format dxfId="48">
      <pivotArea outline="0" fieldPosition="0">
        <references count="1">
          <reference field="4294967294" count="1">
            <x v="7"/>
          </reference>
        </references>
      </pivotArea>
    </format>
    <format dxfId="47">
      <pivotArea outline="0" fieldPosition="0">
        <references count="1">
          <reference field="4294967294" count="1">
            <x v="8"/>
          </reference>
        </references>
      </pivotArea>
    </format>
    <format dxfId="46">
      <pivotArea outline="0" fieldPosition="0">
        <references count="1">
          <reference field="4294967294" count="1">
            <x v="9"/>
          </reference>
        </references>
      </pivotArea>
    </format>
    <format dxfId="45">
      <pivotArea outline="0" fieldPosition="0">
        <references count="1">
          <reference field="4294967294" count="1">
            <x v="10"/>
          </reference>
        </references>
      </pivotArea>
    </format>
    <format dxfId="44">
      <pivotArea outline="0" fieldPosition="0">
        <references count="1">
          <reference field="4294967294" count="1">
            <x v="11"/>
          </reference>
        </references>
      </pivotArea>
    </format>
    <format dxfId="43">
      <pivotArea outline="0" fieldPosition="0">
        <references count="1">
          <reference field="4294967294" count="1">
            <x v="12"/>
          </reference>
        </references>
      </pivotArea>
    </format>
    <format dxfId="42">
      <pivotArea outline="0" fieldPosition="0">
        <references count="1">
          <reference field="4294967294" count="1">
            <x v="13"/>
          </reference>
        </references>
      </pivotArea>
    </format>
    <format dxfId="41">
      <pivotArea outline="0" fieldPosition="0">
        <references count="1">
          <reference field="4294967294" count="1">
            <x v="14"/>
          </reference>
        </references>
      </pivotArea>
    </format>
    <format dxfId="40">
      <pivotArea outline="0" fieldPosition="0">
        <references count="1">
          <reference field="4294967294" count="1">
            <x v="15"/>
          </reference>
        </references>
      </pivotArea>
    </format>
    <format dxfId="39">
      <pivotArea outline="0" fieldPosition="0">
        <references count="1">
          <reference field="4294967294" count="1">
            <x v="16"/>
          </reference>
        </references>
      </pivotArea>
    </format>
    <format dxfId="38">
      <pivotArea outline="0" fieldPosition="0">
        <references count="1">
          <reference field="4294967294" count="1">
            <x v="17"/>
          </reference>
        </references>
      </pivotArea>
    </format>
    <format dxfId="37">
      <pivotArea outline="0" fieldPosition="0">
        <references count="1">
          <reference field="4294967294" count="1">
            <x v="18"/>
          </reference>
        </references>
      </pivotArea>
    </format>
    <format dxfId="36">
      <pivotArea dataOnly="0" labelOnly="1" outline="0" fieldPosition="0">
        <references count="1">
          <reference field="4294967294" count="4">
            <x v="4"/>
            <x v="5"/>
            <x v="6"/>
            <x v="7"/>
          </reference>
        </references>
      </pivotArea>
    </format>
    <format dxfId="35">
      <pivotArea dataOnly="0" labelOnly="1" outline="0" fieldPosition="0">
        <references count="1">
          <reference field="4294967294" count="1">
            <x v="18"/>
          </reference>
        </references>
      </pivotArea>
    </format>
    <format dxfId="34">
      <pivotArea field="-2" type="button" dataOnly="0" labelOnly="1" outline="0" axis="axisCol" fieldPosition="0"/>
    </format>
    <format dxfId="33">
      <pivotArea outline="0" collapsedLevelsAreSubtotals="1" fieldPosition="0">
        <references count="1">
          <reference field="4294967294" count="5" selected="0">
            <x v="0"/>
            <x v="1"/>
            <x v="2"/>
            <x v="3"/>
            <x v="4"/>
          </reference>
        </references>
      </pivotArea>
    </format>
    <format dxfId="32">
      <pivotArea field="86" type="button" dataOnly="0" labelOnly="1" outline="0" axis="axisRow" fieldPosition="0"/>
    </format>
    <format dxfId="31">
      <pivotArea dataOnly="0" labelOnly="1" fieldPosition="0">
        <references count="1">
          <reference field="86" count="0"/>
        </references>
      </pivotArea>
    </format>
    <format dxfId="30">
      <pivotArea dataOnly="0" labelOnly="1" grandRow="1" outline="0" fieldPosition="0"/>
    </format>
    <format dxfId="29">
      <pivotArea dataOnly="0" labelOnly="1" fieldPosition="0">
        <references count="2">
          <reference field="5" count="0"/>
          <reference field="86" count="1" selected="0">
            <x v="6"/>
          </reference>
        </references>
      </pivotArea>
    </format>
    <format dxfId="2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1" showRowHeaders="1" showColHeaders="1" showRowStripes="0" showColStripes="0" showLastColumn="1"/>
  <filters count="1">
    <filter fld="11" type="captionBetween" evalOrder="-1" id="7" stringValue1="0" stringValue2="999.99">
      <autoFilter ref="A1">
        <filterColumn colId="0">
          <customFilters and="1">
            <customFilter operator="greaterThanOrEqual" val="0"/>
            <customFilter operator="lessThanOrEqual" val="999.99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le3" cacheId="24" applyNumberFormats="0" applyBorderFormats="0" applyFontFormats="0" applyPatternFormats="0" applyAlignmentFormats="0" applyWidthHeightFormats="1" dataCaption="KS " updatedVersion="4" minRefreshableVersion="3" useAutoFormatting="1" itemPrintTitles="1" createdVersion="4" indent="0" outline="1" outlineData="1" gridDropZones="1" multipleFieldFilters="0" rowHeaderCaption="Pledge Category">
  <location ref="A2:T8" firstHeaderRow="1" firstDataRow="2" firstDataCol="1"/>
  <pivotFields count="119">
    <pivotField showAll="0"/>
    <pivotField numFmtId="14" showAll="0"/>
    <pivotField dataField="1" showAll="0"/>
    <pivotField showAll="0"/>
    <pivotField showAll="0"/>
    <pivotField axis="axisRow" showAll="0">
      <items count="11">
        <item x="0"/>
        <item x="3"/>
        <item x="7"/>
        <item x="2"/>
        <item x="6"/>
        <item x="8"/>
        <item x="5"/>
        <item x="4"/>
        <item x="1"/>
        <item x="9"/>
        <item t="default"/>
      </items>
    </pivotField>
    <pivotField showAll="0"/>
    <pivotField showAll="0"/>
    <pivotField numFmtId="14" showAll="0"/>
    <pivotField numFmtId="14" showAll="0"/>
    <pivotField dataField="1" numFmtId="164" showAll="0"/>
    <pivotField dataField="1" numFmtId="164" showAll="0"/>
    <pivotField dataField="1" numFmtId="1" showAll="0" defaultSubtotal="0"/>
    <pivotField showAll="0"/>
    <pivotField numFmtId="16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 sortType="ascending">
      <items count="19">
        <item m="1" x="11"/>
        <item m="1" x="7"/>
        <item m="1" x="15"/>
        <item m="1" x="6"/>
        <item m="1" x="14"/>
        <item sd="0" m="1" x="12"/>
        <item n="A - Less than $1,000" sd="0" x="0"/>
        <item sd="0" m="1" x="17"/>
        <item n="B - $1,000 to $9,999" sd="0" x="2"/>
        <item sd="0" m="1" x="9"/>
        <item n="C - $10,000 to $19,999" sd="0" x="1"/>
        <item sd="0" m="1" x="16"/>
        <item n="D - $20,000 to $99,999" sd="0" x="3"/>
        <item sd="0" m="1" x="8"/>
        <item h="1" x="4"/>
        <item h="1" sd="0" m="1" x="13"/>
        <item h="1" x="5"/>
        <item m="1" x="10"/>
        <item t="default"/>
      </items>
    </pivotField>
    <pivotField dataField="1" showAll="0" defaultSubtotal="0"/>
    <pivotField dataField="1" showAll="0"/>
    <pivotField numFmtId="165" showAll="0"/>
    <pivotField showAll="0"/>
    <pivotField numFmtId="164" showAll="0"/>
    <pivotField numFmtId="165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2">
    <field x="86"/>
    <field x="5"/>
  </rowFields>
  <rowItems count="5">
    <i>
      <x v="6"/>
    </i>
    <i>
      <x v="8"/>
    </i>
    <i>
      <x v="10"/>
    </i>
    <i>
      <x v="12"/>
    </i>
    <i t="grand">
      <x/>
    </i>
  </rowItems>
  <colFields count="1">
    <field x="-2"/>
  </colFields>
  <colItems count="1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</colItems>
  <dataFields count="19">
    <dataField name="Qty" fld="2" subtotal="count" baseField="0" baseItem="0"/>
    <dataField name="Avg Goal" fld="11" subtotal="average" baseField="0" baseItem="0" numFmtId="164"/>
    <dataField name="Avg Pledge" fld="10" subtotal="average" baseField="0" baseItem="0" numFmtId="164"/>
    <dataField name="Avg Backers" fld="12" subtotal="average" baseField="0" baseItem="0" numFmtId="1"/>
    <dataField name="Avg Pledge/Backer" fld="106" subtotal="average" baseField="0" baseItem="0" numFmtId="164"/>
    <dataField name="Avg Backers/FB Friends" fld="107" subtotal="average" baseField="0" baseItem="0" numFmtId="9"/>
    <dataField name="Avg Rewards Offered" fld="87" subtotal="average" baseField="0" baseItem="0" numFmtId="1"/>
    <dataField name="Avg Rewards Backed" fld="88" subtotal="average" baseField="0" baseItem="0" numFmtId="1"/>
    <dataField name="&gt;$0 &lt;$5 " fld="108" subtotal="average" baseField="0" baseItem="0" numFmtId="10"/>
    <dataField name="&gt;$5 &lt;$10 " fld="109" subtotal="average" baseField="0" baseItem="0" numFmtId="10"/>
    <dataField name="&gt;$10 &lt;$25 " fld="110" subtotal="average" baseField="0" baseItem="0" numFmtId="10"/>
    <dataField name="&gt;$25 &lt;$50 " fld="111" subtotal="average" baseField="0" baseItem="0" numFmtId="10"/>
    <dataField name="&gt;$50 &lt;$100 " fld="112" subtotal="average" baseField="0" baseItem="0" numFmtId="10"/>
    <dataField name="&gt;$100 &lt;$250 " fld="113" subtotal="average" baseField="0" baseItem="0" numFmtId="10"/>
    <dataField name="&gt;$250 &lt;$500  " fld="114" subtotal="average" baseField="0" baseItem="0" numFmtId="10"/>
    <dataField name="&gt;$500  &lt;$1,000 " fld="115" subtotal="average" baseField="0" baseItem="0" numFmtId="10"/>
    <dataField name="&gt;$1,000 &lt;$2,500  " fld="116" subtotal="average" baseField="0" baseItem="0" numFmtId="10"/>
    <dataField name="&gt;$2,501 " fld="117" subtotal="average" baseField="0" baseItem="0" numFmtId="10"/>
    <dataField name="Und" fld="118" subtotal="average" baseField="0" baseItem="0" numFmtId="10"/>
  </dataFields>
  <formats count="28">
    <format dxfId="27">
      <pivotArea field="86" type="button" dataOnly="0" labelOnly="1" outline="0" axis="axisRow" fieldPosition="0"/>
    </format>
    <format dxfId="26">
      <pivotArea field="-2" type="button" dataOnly="0" labelOnly="1" outline="0" axis="axisCol" fieldPosition="0"/>
    </format>
    <format dxfId="25">
      <pivotArea outline="0" fieldPosition="0">
        <references count="1">
          <reference field="4294967294" count="1">
            <x v="2"/>
          </reference>
        </references>
      </pivotArea>
    </format>
    <format dxfId="24">
      <pivotArea outline="0" fieldPosition="0">
        <references count="1">
          <reference field="4294967294" count="1">
            <x v="3"/>
          </reference>
        </references>
      </pivotArea>
    </format>
    <format dxfId="23">
      <pivotArea outline="0" fieldPosition="0">
        <references count="1">
          <reference field="4294967294" count="1">
            <x v="1"/>
          </reference>
        </references>
      </pivotArea>
    </format>
    <format dxfId="22">
      <pivotArea outline="0" fieldPosition="0">
        <references count="1">
          <reference field="4294967294" count="1">
            <x v="4"/>
          </reference>
        </references>
      </pivotArea>
    </format>
    <format dxfId="21">
      <pivotArea outline="0" fieldPosition="0">
        <references count="1">
          <reference field="4294967294" count="1">
            <x v="5"/>
          </reference>
        </references>
      </pivotArea>
    </format>
    <format dxfId="20">
      <pivotArea collapsedLevelsAreSubtotals="1" fieldPosition="0">
        <references count="3">
          <reference field="4294967294" count="1" selected="0">
            <x v="5"/>
          </reference>
          <reference field="5" count="1">
            <x v="2"/>
          </reference>
          <reference field="86" count="1" selected="0">
            <x v="8"/>
          </reference>
        </references>
      </pivotArea>
    </format>
    <format dxfId="19">
      <pivotArea collapsedLevelsAreSubtotals="1" fieldPosition="0">
        <references count="3">
          <reference field="4294967294" count="1" selected="0">
            <x v="5"/>
          </reference>
          <reference field="5" count="1">
            <x v="1"/>
          </reference>
          <reference field="86" count="1" selected="0">
            <x v="12"/>
          </reference>
        </references>
      </pivotArea>
    </format>
    <format dxfId="18">
      <pivotArea outline="0" fieldPosition="0">
        <references count="1">
          <reference field="4294967294" count="1">
            <x v="6"/>
          </reference>
        </references>
      </pivotArea>
    </format>
    <format dxfId="17">
      <pivotArea outline="0" fieldPosition="0">
        <references count="1">
          <reference field="4294967294" count="1">
            <x v="7"/>
          </reference>
        </references>
      </pivotArea>
    </format>
    <format dxfId="16">
      <pivotArea outline="0" fieldPosition="0">
        <references count="1">
          <reference field="4294967294" count="1">
            <x v="8"/>
          </reference>
        </references>
      </pivotArea>
    </format>
    <format dxfId="15">
      <pivotArea outline="0" fieldPosition="0">
        <references count="1">
          <reference field="4294967294" count="1">
            <x v="9"/>
          </reference>
        </references>
      </pivotArea>
    </format>
    <format dxfId="14">
      <pivotArea outline="0" fieldPosition="0">
        <references count="1">
          <reference field="4294967294" count="1">
            <x v="10"/>
          </reference>
        </references>
      </pivotArea>
    </format>
    <format dxfId="13">
      <pivotArea outline="0" fieldPosition="0">
        <references count="1">
          <reference field="4294967294" count="1">
            <x v="11"/>
          </reference>
        </references>
      </pivotArea>
    </format>
    <format dxfId="12">
      <pivotArea outline="0" fieldPosition="0">
        <references count="1">
          <reference field="4294967294" count="1">
            <x v="12"/>
          </reference>
        </references>
      </pivotArea>
    </format>
    <format dxfId="11">
      <pivotArea outline="0" fieldPosition="0">
        <references count="1">
          <reference field="4294967294" count="1">
            <x v="13"/>
          </reference>
        </references>
      </pivotArea>
    </format>
    <format dxfId="10">
      <pivotArea outline="0" fieldPosition="0">
        <references count="1">
          <reference field="4294967294" count="1">
            <x v="14"/>
          </reference>
        </references>
      </pivotArea>
    </format>
    <format dxfId="9">
      <pivotArea outline="0" fieldPosition="0">
        <references count="1">
          <reference field="4294967294" count="1">
            <x v="15"/>
          </reference>
        </references>
      </pivotArea>
    </format>
    <format dxfId="8">
      <pivotArea outline="0" fieldPosition="0">
        <references count="1">
          <reference field="4294967294" count="1">
            <x v="16"/>
          </reference>
        </references>
      </pivotArea>
    </format>
    <format dxfId="7">
      <pivotArea outline="0" fieldPosition="0">
        <references count="1">
          <reference field="4294967294" count="1">
            <x v="17"/>
          </reference>
        </references>
      </pivotArea>
    </format>
    <format dxfId="6">
      <pivotArea outline="0" fieldPosition="0">
        <references count="1">
          <reference field="4294967294" count="1">
            <x v="18"/>
          </reference>
        </references>
      </pivotArea>
    </format>
    <format dxfId="5">
      <pivotArea field="-2" type="button" dataOnly="0" labelOnly="1" outline="0" axis="axisCol" fieldPosition="0"/>
    </format>
    <format dxfId="4">
      <pivotArea dataOnly="0" outline="0" fieldPosition="0">
        <references count="1">
          <reference field="4294967294" count="19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</reference>
        </references>
      </pivotArea>
    </format>
    <format dxfId="3">
      <pivotArea dataOnly="0" labelOnly="1" outline="0" fieldPosition="0">
        <references count="1">
          <reference field="4294967294" count="19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</reference>
        </references>
      </pivotArea>
    </format>
    <format dxfId="2">
      <pivotArea type="all" dataOnly="0" outline="0" fieldPosition="0"/>
    </format>
    <format dxfId="1">
      <pivotArea type="all" dataOnly="0" outline="0" fieldPosition="0"/>
    </format>
    <format dxfId="0">
      <pivotArea field="86" type="button" dataOnly="0" labelOnly="1" outline="0" axis="axisRow" fieldPosition="0"/>
    </format>
  </formats>
  <pivotTableStyleInfo name="PivotStyleMedium1" showRowHeaders="1" showColHeaders="1" showRowStripes="0" showColStripes="0" showLastColumn="1"/>
  <filters count="1">
    <filter fld="11" type="captionBetween" evalOrder="-1" id="7" stringValue1="0" stringValue2="999.99">
      <autoFilter ref="A1">
        <filterColumn colId="0">
          <customFilters and="1">
            <customFilter operator="greaterThanOrEqual" val="0"/>
            <customFilter operator="lessThanOrEqual" val="999.99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e1" displayName="Table1" ref="A1:DB104" totalsRowCount="1" headerRowDxfId="208">
  <autoFilter ref="A1:DB103"/>
  <tableColumns count="106">
    <tableColumn id="1" name="ID" totalsRowLabel="Total" dataDxfId="207"/>
    <tableColumn id="43" name="Research Date" dataDxfId="206"/>
    <tableColumn id="2" name="Project Title"/>
    <tableColumn id="37" name="Owner"/>
    <tableColumn id="3" name="URL" dataDxfId="205" totalsRowDxfId="204"/>
    <tableColumn id="4" name="Genre"/>
    <tableColumn id="5" name="Location"/>
    <tableColumn id="36" name="State" dataDxfId="203">
      <calculatedColumnFormula>RIGHT(Table1[[#This Row],[Location]],2)</calculatedColumnFormula>
    </tableColumn>
    <tableColumn id="6" name="Launch Date" dataDxfId="202"/>
    <tableColumn id="7" name="End Date" dataDxfId="201"/>
    <tableColumn id="8" name="Pledge" totalsRowFunction="sum" dataDxfId="200" totalsRowDxfId="199"/>
    <tableColumn id="9" name="Goal" dataDxfId="198"/>
    <tableColumn id="11" name="Backers" totalsRowFunction="sum" dataDxfId="197" totalsRowDxfId="196" dataCellStyle="Comma"/>
    <tableColumn id="42" name="FB Friends" dataDxfId="195" totalsRowDxfId="194" dataCellStyle="Comma"/>
    <tableColumn id="12" name="Reward Level 1" dataDxfId="193" totalsRowDxfId="192"/>
    <tableColumn id="14" name="Reward Level 2" dataDxfId="191" totalsRowDxfId="190"/>
    <tableColumn id="16" name="Reward Level 3" dataDxfId="189" totalsRowDxfId="188"/>
    <tableColumn id="18" name="Reward Level 4" dataDxfId="187" totalsRowDxfId="186"/>
    <tableColumn id="20" name="Reward Level 5" dataDxfId="185" totalsRowDxfId="184"/>
    <tableColumn id="22" name="Reward Level 6" dataDxfId="183"/>
    <tableColumn id="24" name="Reward Level 7" dataDxfId="182"/>
    <tableColumn id="26" name="Reward Level 8" dataDxfId="181"/>
    <tableColumn id="28" name="Reward Level 9" dataDxfId="180"/>
    <tableColumn id="30" name="Reward Level 10" dataDxfId="179"/>
    <tableColumn id="32" name="Reward Level 11" dataDxfId="178"/>
    <tableColumn id="34" name="Reward Level 12" dataDxfId="177"/>
    <tableColumn id="44" name="Reward Level 13" dataDxfId="176"/>
    <tableColumn id="46" name="Reward Level 14" dataDxfId="175"/>
    <tableColumn id="48" name="Reward Level 15" dataDxfId="174"/>
    <tableColumn id="50" name="Reward Level 16" dataDxfId="173"/>
    <tableColumn id="52" name="Reward Level 17" dataDxfId="172"/>
    <tableColumn id="54" name="Reward Level 18" dataDxfId="171"/>
    <tableColumn id="56" name="Reward Level 19" dataDxfId="170"/>
    <tableColumn id="58" name="Reward Level 20" dataDxfId="169"/>
    <tableColumn id="60" name="Reward Level 21" dataDxfId="168"/>
    <tableColumn id="62" name="Reward Level 22" dataDxfId="167"/>
    <tableColumn id="64" name="Reward Level 23" dataDxfId="166"/>
    <tableColumn id="66" name="Reward Level 24" dataDxfId="165"/>
    <tableColumn id="68" name="Reward Level 25" dataDxfId="164"/>
    <tableColumn id="70" name="Reward Level 26" dataDxfId="163"/>
    <tableColumn id="72" name="Reward Level 27" dataDxfId="162"/>
    <tableColumn id="74" name="Reward Level 28" dataDxfId="161"/>
    <tableColumn id="76" name="Reward Level 29" dataDxfId="160"/>
    <tableColumn id="78" name="Reward Level 30" dataDxfId="159"/>
    <tableColumn id="80" name="Reward Level 31" dataDxfId="158"/>
    <tableColumn id="82" name="Reward Level 32" dataDxfId="157"/>
    <tableColumn id="84" name="Reward Level 33" dataDxfId="156"/>
    <tableColumn id="86" name="Reward Level 34" dataDxfId="155"/>
    <tableColumn id="88" name="Reward Level 35" dataDxfId="154"/>
    <tableColumn id="90" name="Reward Level 36" dataDxfId="153"/>
    <tableColumn id="13" name="Backers Level 1" dataDxfId="152" totalsRowDxfId="151"/>
    <tableColumn id="15" name="Backers Level 2" dataDxfId="150" totalsRowDxfId="149"/>
    <tableColumn id="17" name="Backers Level 3" dataDxfId="148" totalsRowDxfId="147"/>
    <tableColumn id="19" name="Backers Level 4" dataDxfId="146" totalsRowDxfId="145"/>
    <tableColumn id="21" name="Backers Level 5"/>
    <tableColumn id="23" name="Backers Level 6"/>
    <tableColumn id="25" name="Backers Level 7"/>
    <tableColumn id="27" name="Backers Level 8"/>
    <tableColumn id="29" name="Backers Level 9"/>
    <tableColumn id="31" name="Backers Level 10"/>
    <tableColumn id="33" name="Backers Level 11"/>
    <tableColumn id="35" name="Backers Level 12"/>
    <tableColumn id="45" name="Backers Level 13"/>
    <tableColumn id="47" name="Backers Level 14"/>
    <tableColumn id="49" name="Backers Level 15"/>
    <tableColumn id="51" name="Backers Level 16"/>
    <tableColumn id="53" name="Backers Level 17"/>
    <tableColumn id="55" name="Backers Level 18"/>
    <tableColumn id="57" name="Backers Level 19"/>
    <tableColumn id="59" name="Backers Level 20"/>
    <tableColumn id="61" name="Backers Level 21"/>
    <tableColumn id="63" name="Backers Level 22"/>
    <tableColumn id="65" name="Backers Level 23"/>
    <tableColumn id="67" name="Backers Level 24"/>
    <tableColumn id="69" name="Backers Level 25"/>
    <tableColumn id="71" name="Backers Level 26"/>
    <tableColumn id="73" name="Backers Level 27"/>
    <tableColumn id="75" name="Backers Level 28"/>
    <tableColumn id="77" name="Backers Level 29"/>
    <tableColumn id="79" name="Backers Level 30"/>
    <tableColumn id="81" name="Backers Level 31"/>
    <tableColumn id="83" name="Backers Level 32"/>
    <tableColumn id="85" name="Backers Level 33"/>
    <tableColumn id="87" name="Backers Level 34"/>
    <tableColumn id="89" name="Backers Level 35"/>
    <tableColumn id="91" name="Backers Level 36"/>
    <tableColumn id="10" name="Pledge Category" dataDxfId="144" totalsRowDxfId="143">
      <calculatedColumnFormula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calculatedColumnFormula>
    </tableColumn>
    <tableColumn id="92" name="Rewards Offered" dataDxfId="142">
      <calculatedColumnFormula>COUNTA(Table1[[#This Row],[Reward Level 1]:[Reward Level 36]])</calculatedColumnFormula>
    </tableColumn>
    <tableColumn id="93" name="Rewards Backed" dataDxfId="141">
      <calculatedColumnFormula>COUNTIF(Table1[[#This Row],[Backers Level 1]:[Backers Level 36]],"&gt;0")</calculatedColumnFormula>
    </tableColumn>
    <tableColumn id="94" name="$/Backer" dataDxfId="140">
      <calculatedColumnFormula>Table1[[#This Row],[Pledge]]/Table1[[#This Row],[Backers]]</calculatedColumnFormula>
    </tableColumn>
    <tableColumn id="39" name="Pledge Check" dataDxfId="139">
      <calculatedColumnFormula>IF(Table1[[#This Row],[Pledge]]=Table1[[#This Row],[Pledge Count]],"OK!","N!")</calculatedColumnFormula>
    </tableColumn>
    <tableColumn id="40" name="Pledge Count" dataDxfId="138">
      <calculatedColumnFormula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calculatedColumnFormula>
    </tableColumn>
    <tableColumn id="97" name="Exceeding Contributions" dataDxfId="137">
      <calculatedColumnFormula>Table1[[#This Row],[Pledge]]-Table1[[#This Row],[Pledge Count]]</calculatedColumnFormula>
    </tableColumn>
    <tableColumn id="38" name="Backers Check" dataDxfId="136">
      <calculatedColumnFormula>IF(Table1[[#This Row],[Backers]]=Table1[[#This Row],[Backers Count]],"OK!","N!")</calculatedColumnFormula>
    </tableColumn>
    <tableColumn id="41" name="Backers Count" dataDxfId="135">
      <calculatedColumnFormula>SUM(Table1[[#This Row],[Backers Level 1]:[Backers Level 36]])</calculatedColumnFormula>
    </tableColumn>
    <tableColumn id="96" name="Undisclosed Backers" totalsRowFunction="sum" dataDxfId="134">
      <calculatedColumnFormula>Table1[[#This Row],[Backers]]-Table1[[#This Row],[Backers Count]]</calculatedColumnFormula>
    </tableColumn>
    <tableColumn id="122" name="&gt;$0-$5" totalsRowFunction="average" dataDxfId="133" totalsRowDxfId="132" dataCellStyle="Percent">
      <calculatedColumnFormula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calculatedColumnFormula>
    </tableColumn>
    <tableColumn id="112" name="&gt;$5-$10" totalsRowFunction="average" dataDxfId="131" totalsRowDxfId="130" dataCellStyle="Percent">
      <calculatedColumnFormula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calculatedColumnFormula>
    </tableColumn>
    <tableColumn id="113" name="&gt;$10-$25" totalsRowFunction="average" dataDxfId="129" totalsRowDxfId="128" dataCellStyle="Percent">
      <calculatedColumnFormula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calculatedColumnFormula>
    </tableColumn>
    <tableColumn id="114" name="&gt;$25-$50" totalsRowFunction="average" dataDxfId="127" totalsRowDxfId="126" dataCellStyle="Percent">
      <calculatedColumnFormula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calculatedColumnFormula>
    </tableColumn>
    <tableColumn id="115" name="&gt;$50-$100" totalsRowFunction="average" dataDxfId="125" totalsRowDxfId="124" dataCellStyle="Percent">
      <calculatedColumnFormula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calculatedColumnFormula>
    </tableColumn>
    <tableColumn id="116" name="&gt;$100-$250" totalsRowFunction="average" dataDxfId="123" totalsRowDxfId="122" dataCellStyle="Percent">
      <calculatedColumnFormula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calculatedColumnFormula>
    </tableColumn>
    <tableColumn id="117" name="&gt;$250-$500" totalsRowFunction="average" dataDxfId="121" totalsRowDxfId="120" dataCellStyle="Percent">
      <calculatedColumnFormula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calculatedColumnFormula>
    </tableColumn>
    <tableColumn id="118" name="&gt;$500-$1,000" totalsRowFunction="average" dataDxfId="119" totalsRowDxfId="118" dataCellStyle="Percent">
      <calculatedColumnFormula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calculatedColumnFormula>
    </tableColumn>
    <tableColumn id="119" name="&gt;$1,000-$2,500" totalsRowFunction="average" dataDxfId="117" totalsRowDxfId="116" dataCellStyle="Percent">
      <calculatedColumnFormula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calculatedColumnFormula>
    </tableColumn>
    <tableColumn id="120" name="&gt;$2,501" totalsRowFunction="average" dataDxfId="115" totalsRowDxfId="114" dataCellStyle="Percent">
      <calculatedColumnFormula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3" displayName="Table3" ref="A1:B15" totalsRowShown="0">
  <tableColumns count="2">
    <tableColumn id="1" name="Category" dataDxfId="87" dataCellStyle="Normal 2"/>
    <tableColumn id="2" name="Total" dataDxfId="86" dataCellStyle="Normal 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kickstarter.com/help/statshttp:/www.kickstarter.com/help/stats" TargetMode="External"/><Relationship Id="rId2" Type="http://schemas.openxmlformats.org/officeDocument/2006/relationships/hyperlink" Target="http://www.kickstarter.com/discover/categories/music/successful?ref=mor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Relationship Id="rId2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workbookViewId="0">
      <selection activeCell="C23" sqref="C23:M23"/>
    </sheetView>
  </sheetViews>
  <sheetFormatPr baseColWidth="10" defaultRowHeight="15" x14ac:dyDescent="0"/>
  <cols>
    <col min="1" max="1" width="19.83203125" customWidth="1"/>
    <col min="2" max="2" width="29.6640625" bestFit="1" customWidth="1"/>
    <col min="3" max="4" width="12.33203125" bestFit="1" customWidth="1"/>
    <col min="5" max="6" width="13.33203125" bestFit="1" customWidth="1"/>
    <col min="7" max="7" width="14.1640625" bestFit="1" customWidth="1"/>
    <col min="8" max="8" width="14.1640625" customWidth="1"/>
  </cols>
  <sheetData>
    <row r="1" spans="1:9">
      <c r="A1" s="5" t="s">
        <v>21</v>
      </c>
      <c r="B1" s="15">
        <v>41328</v>
      </c>
    </row>
    <row r="2" spans="1:9">
      <c r="A2" s="1" t="s">
        <v>604</v>
      </c>
      <c r="B2" s="12" t="s">
        <v>195</v>
      </c>
    </row>
    <row r="3" spans="1:9">
      <c r="B3" s="12" t="s">
        <v>20</v>
      </c>
    </row>
    <row r="4" spans="1:9">
      <c r="A4" s="35"/>
      <c r="B4" s="15"/>
      <c r="C4" t="s">
        <v>14</v>
      </c>
      <c r="D4" t="s">
        <v>15</v>
      </c>
      <c r="E4" t="s">
        <v>16</v>
      </c>
      <c r="F4" t="s">
        <v>17</v>
      </c>
      <c r="G4" t="s">
        <v>18</v>
      </c>
      <c r="H4" t="s">
        <v>19</v>
      </c>
    </row>
    <row r="5" spans="1:9">
      <c r="A5" s="8"/>
      <c r="B5" s="1" t="s">
        <v>600</v>
      </c>
      <c r="C5" s="3" t="str">
        <f t="shared" ref="C5:H5" si="0">C8</f>
        <v>A - Less than $1,000 Raised</v>
      </c>
      <c r="D5" s="3" t="str">
        <f t="shared" si="0"/>
        <v>B - $1,000 to $9,999 Raised</v>
      </c>
      <c r="E5" s="3" t="str">
        <f t="shared" si="0"/>
        <v>C - $10,000 to $19,999 Raised</v>
      </c>
      <c r="F5" s="3" t="str">
        <f t="shared" si="0"/>
        <v>D - $20,000 to $99,999 Raised</v>
      </c>
      <c r="G5" s="3" t="str">
        <f t="shared" si="0"/>
        <v>E - $100K  to $999,999 Raised</v>
      </c>
      <c r="H5" s="3" t="str">
        <f t="shared" si="0"/>
        <v>F - $1M Raised</v>
      </c>
    </row>
    <row r="6" spans="1:9">
      <c r="B6" s="8" t="s">
        <v>36</v>
      </c>
      <c r="C6" s="31">
        <v>0</v>
      </c>
      <c r="D6" s="31">
        <v>1000</v>
      </c>
      <c r="E6" s="31">
        <v>10000</v>
      </c>
      <c r="F6" s="31">
        <v>20000</v>
      </c>
      <c r="G6" s="31">
        <v>100000</v>
      </c>
      <c r="H6" s="31">
        <v>1000000</v>
      </c>
    </row>
    <row r="7" spans="1:9">
      <c r="B7" s="8" t="s">
        <v>37</v>
      </c>
      <c r="C7" s="31">
        <v>999.99</v>
      </c>
      <c r="D7" s="31">
        <v>9999.99</v>
      </c>
      <c r="E7" s="31">
        <v>19999.990000000002</v>
      </c>
      <c r="F7" s="31">
        <v>99999.99</v>
      </c>
      <c r="G7" s="31">
        <v>999999.99</v>
      </c>
      <c r="H7" s="31" t="s">
        <v>38</v>
      </c>
    </row>
    <row r="8" spans="1:9">
      <c r="A8" s="148" t="s">
        <v>8</v>
      </c>
      <c r="B8" s="148" t="s">
        <v>9</v>
      </c>
      <c r="C8" s="147" t="s">
        <v>620</v>
      </c>
      <c r="D8" s="147" t="s">
        <v>621</v>
      </c>
      <c r="E8" s="147" t="s">
        <v>622</v>
      </c>
      <c r="F8" s="147" t="s">
        <v>623</v>
      </c>
      <c r="G8" s="147" t="s">
        <v>624</v>
      </c>
      <c r="H8" s="147" t="s">
        <v>625</v>
      </c>
      <c r="I8" s="4"/>
    </row>
    <row r="9" spans="1:9">
      <c r="A9" s="148"/>
      <c r="B9" s="148"/>
      <c r="C9" s="147"/>
      <c r="D9" s="147"/>
      <c r="E9" s="147"/>
      <c r="F9" s="147"/>
      <c r="G9" s="147"/>
      <c r="H9" s="147"/>
      <c r="I9" s="4"/>
    </row>
    <row r="10" spans="1:9">
      <c r="A10" s="148"/>
      <c r="B10" s="148"/>
      <c r="C10" s="147"/>
      <c r="D10" s="147"/>
      <c r="E10" s="147"/>
      <c r="F10" s="147"/>
      <c r="G10" s="147"/>
      <c r="H10" s="147"/>
      <c r="I10" s="4"/>
    </row>
    <row r="11" spans="1:9">
      <c r="A11" s="148"/>
      <c r="B11" s="148"/>
      <c r="C11" s="147"/>
      <c r="D11" s="147"/>
      <c r="E11" s="147"/>
      <c r="F11" s="147"/>
      <c r="G11" s="147"/>
      <c r="H11" s="147"/>
      <c r="I11" s="4"/>
    </row>
    <row r="12" spans="1:9">
      <c r="A12" s="148"/>
      <c r="B12" s="148"/>
      <c r="C12" s="147"/>
      <c r="D12" s="147"/>
      <c r="E12" s="147"/>
      <c r="F12" s="147"/>
      <c r="G12" s="147"/>
      <c r="H12" s="147"/>
      <c r="I12" s="4"/>
    </row>
    <row r="13" spans="1:9">
      <c r="A13" s="5" t="s">
        <v>10</v>
      </c>
      <c r="B13" s="7">
        <v>36366</v>
      </c>
      <c r="C13" s="7">
        <v>4267</v>
      </c>
      <c r="D13" s="7">
        <v>24303</v>
      </c>
      <c r="E13" s="7">
        <v>4456</v>
      </c>
      <c r="F13" s="7">
        <v>2892</v>
      </c>
      <c r="G13" s="8">
        <v>428</v>
      </c>
      <c r="H13" s="8">
        <v>20</v>
      </c>
      <c r="I13" s="4"/>
    </row>
    <row r="14" spans="1:9">
      <c r="A14" s="5"/>
      <c r="B14" s="10" t="s">
        <v>12</v>
      </c>
      <c r="C14" s="11">
        <f t="shared" ref="C14:H14" si="1">C13/$B$13</f>
        <v>0.11733487323323984</v>
      </c>
      <c r="D14" s="11">
        <f t="shared" si="1"/>
        <v>0.66828906121102127</v>
      </c>
      <c r="E14" s="11">
        <f t="shared" si="1"/>
        <v>0.12253203541769785</v>
      </c>
      <c r="F14" s="11">
        <f t="shared" si="1"/>
        <v>7.9524830885992409E-2</v>
      </c>
      <c r="G14" s="11">
        <f t="shared" si="1"/>
        <v>1.1769234999725018E-2</v>
      </c>
      <c r="H14" s="11">
        <f t="shared" si="1"/>
        <v>5.4996425232359898E-4</v>
      </c>
      <c r="I14" s="6"/>
    </row>
    <row r="15" spans="1:9">
      <c r="A15" s="5" t="s">
        <v>11</v>
      </c>
      <c r="B15" s="7">
        <v>10428</v>
      </c>
      <c r="C15" s="7">
        <v>1098</v>
      </c>
      <c r="D15" s="7">
        <v>7833</v>
      </c>
      <c r="E15" s="7">
        <v>1099</v>
      </c>
      <c r="F15" s="8">
        <v>384</v>
      </c>
      <c r="G15" s="8">
        <v>13</v>
      </c>
      <c r="H15" s="8">
        <v>1</v>
      </c>
      <c r="I15" s="4"/>
    </row>
    <row r="16" spans="1:9">
      <c r="A16" s="4"/>
      <c r="B16" s="9" t="s">
        <v>12</v>
      </c>
      <c r="C16" s="11">
        <f t="shared" ref="C16:H16" si="2">C15/$B$15</f>
        <v>0.10529344073647871</v>
      </c>
      <c r="D16" s="11">
        <f t="shared" si="2"/>
        <v>0.75115074798619097</v>
      </c>
      <c r="E16" s="11">
        <f t="shared" si="2"/>
        <v>0.10538933640199463</v>
      </c>
      <c r="F16" s="11">
        <f t="shared" si="2"/>
        <v>3.6823935558112773E-2</v>
      </c>
      <c r="G16" s="11">
        <f t="shared" si="2"/>
        <v>1.2466436517069429E-3</v>
      </c>
      <c r="H16" s="11">
        <f t="shared" si="2"/>
        <v>9.5895665515918676E-5</v>
      </c>
      <c r="I16" s="34" t="s">
        <v>23</v>
      </c>
    </row>
    <row r="17" spans="1:13">
      <c r="A17" s="4"/>
      <c r="B17" s="16" t="s">
        <v>22</v>
      </c>
      <c r="C17" s="4">
        <v>10</v>
      </c>
      <c r="D17" s="4">
        <v>75</v>
      </c>
      <c r="E17" s="4">
        <v>10</v>
      </c>
      <c r="F17" s="4">
        <v>3</v>
      </c>
      <c r="G17" s="4">
        <v>1</v>
      </c>
      <c r="H17" s="4">
        <v>1</v>
      </c>
      <c r="I17" s="4">
        <f>SUM(C17:H17)</f>
        <v>100</v>
      </c>
    </row>
    <row r="18" spans="1:13">
      <c r="A18" s="4"/>
      <c r="B18" s="9" t="s">
        <v>13</v>
      </c>
      <c r="C18" s="18">
        <f>COUNTIF(Data!$CI:$CI,Info!C5)</f>
        <v>13</v>
      </c>
      <c r="D18" s="18">
        <f>COUNTIF(Data!$CI:$CI,Info!D5)</f>
        <v>70</v>
      </c>
      <c r="E18" s="18">
        <f>COUNTIF(Data!$CI:$CI,Info!E5)</f>
        <v>12</v>
      </c>
      <c r="F18" s="18">
        <f>COUNTIF(Data!$CI:$CI,Info!F5)</f>
        <v>5</v>
      </c>
      <c r="G18" s="18">
        <f>COUNTIF(Data!$CI:$CI,Info!G5)</f>
        <v>1</v>
      </c>
      <c r="H18" s="18">
        <f>COUNTIF(Data!$CI:$CI,Info!H5)</f>
        <v>1</v>
      </c>
      <c r="I18" s="4">
        <f>SUM(C18:H18)</f>
        <v>102</v>
      </c>
    </row>
    <row r="19" spans="1:13">
      <c r="C19" s="41">
        <f t="shared" ref="C19:H19" si="3">C18/$I$18</f>
        <v>0.12745098039215685</v>
      </c>
      <c r="D19" s="41">
        <f t="shared" si="3"/>
        <v>0.68627450980392157</v>
      </c>
      <c r="E19" s="41">
        <f t="shared" si="3"/>
        <v>0.11764705882352941</v>
      </c>
      <c r="F19" s="41">
        <f t="shared" si="3"/>
        <v>4.9019607843137254E-2</v>
      </c>
      <c r="G19" s="41">
        <f t="shared" si="3"/>
        <v>9.8039215686274508E-3</v>
      </c>
      <c r="H19" s="41">
        <f t="shared" si="3"/>
        <v>9.8039215686274508E-3</v>
      </c>
    </row>
    <row r="23" spans="1:13">
      <c r="B23" s="1" t="s">
        <v>602</v>
      </c>
      <c r="C23" s="64" t="s">
        <v>609</v>
      </c>
      <c r="D23" s="64" t="s">
        <v>610</v>
      </c>
      <c r="E23" s="64" t="s">
        <v>611</v>
      </c>
      <c r="F23" s="64" t="s">
        <v>612</v>
      </c>
      <c r="G23" s="64" t="s">
        <v>613</v>
      </c>
      <c r="H23" s="64" t="s">
        <v>614</v>
      </c>
      <c r="I23" s="64" t="s">
        <v>615</v>
      </c>
      <c r="J23" s="64" t="s">
        <v>616</v>
      </c>
      <c r="K23" s="64" t="s">
        <v>617</v>
      </c>
      <c r="L23" s="64" t="s">
        <v>618</v>
      </c>
      <c r="M23" s="65" t="s">
        <v>619</v>
      </c>
    </row>
    <row r="24" spans="1:13">
      <c r="B24" t="s">
        <v>36</v>
      </c>
      <c r="C24" s="49">
        <v>0</v>
      </c>
      <c r="D24" s="49">
        <v>5.01</v>
      </c>
      <c r="E24" s="49">
        <v>10.01</v>
      </c>
      <c r="F24" s="49">
        <v>25.01</v>
      </c>
      <c r="G24" s="49">
        <v>50.01</v>
      </c>
      <c r="H24" s="49">
        <v>100.01</v>
      </c>
      <c r="I24" s="49">
        <v>250.01</v>
      </c>
      <c r="J24" s="49">
        <v>500.01</v>
      </c>
      <c r="K24" s="49">
        <v>1000.01</v>
      </c>
      <c r="L24" s="49">
        <v>2500.0100000000002</v>
      </c>
      <c r="M24" t="s">
        <v>605</v>
      </c>
    </row>
    <row r="25" spans="1:13">
      <c r="B25" t="s">
        <v>37</v>
      </c>
      <c r="C25" s="49">
        <v>5</v>
      </c>
      <c r="D25" s="49">
        <v>10</v>
      </c>
      <c r="E25" s="49">
        <v>25</v>
      </c>
      <c r="F25" s="49">
        <v>50</v>
      </c>
      <c r="G25" s="49">
        <v>100</v>
      </c>
      <c r="H25" s="49">
        <v>250</v>
      </c>
      <c r="I25" s="49">
        <v>500</v>
      </c>
      <c r="J25" s="49">
        <v>1000</v>
      </c>
      <c r="K25" s="49">
        <v>2500</v>
      </c>
      <c r="L25" s="49" t="s">
        <v>38</v>
      </c>
      <c r="M25" s="52"/>
    </row>
    <row r="28" spans="1:13" s="22" customFormat="1"/>
  </sheetData>
  <mergeCells count="8">
    <mergeCell ref="G8:G12"/>
    <mergeCell ref="H8:H12"/>
    <mergeCell ref="A8:A12"/>
    <mergeCell ref="B8:B12"/>
    <mergeCell ref="C8:C12"/>
    <mergeCell ref="D8:D12"/>
    <mergeCell ref="E8:E12"/>
    <mergeCell ref="F8:F12"/>
  </mergeCells>
  <hyperlinks>
    <hyperlink ref="B3" r:id="rId1"/>
    <hyperlink ref="B2" r:id="rId2" location="p2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106"/>
  <sheetViews>
    <sheetView tabSelected="1" workbookViewId="0">
      <pane xSplit="3" ySplit="1" topLeftCell="D2" activePane="bottomRight" state="frozen"/>
      <selection pane="topRight" activeCell="C1" sqref="C1"/>
      <selection pane="bottomLeft" activeCell="A2" sqref="A2"/>
      <selection pane="bottomRight" activeCell="CO2" sqref="CO2"/>
    </sheetView>
  </sheetViews>
  <sheetFormatPr baseColWidth="10" defaultRowHeight="15" x14ac:dyDescent="0"/>
  <cols>
    <col min="1" max="1" width="5.5" customWidth="1"/>
    <col min="2" max="2" width="11.5" style="14" bestFit="1" customWidth="1"/>
    <col min="3" max="3" width="54.1640625" bestFit="1" customWidth="1"/>
    <col min="4" max="4" width="34.1640625" bestFit="1" customWidth="1"/>
    <col min="6" max="7" width="14.6640625" bestFit="1" customWidth="1"/>
    <col min="8" max="8" width="8.1640625" bestFit="1" customWidth="1"/>
    <col min="9" max="9" width="14.1640625" bestFit="1" customWidth="1"/>
    <col min="10" max="10" width="14.1640625" style="14" bestFit="1" customWidth="1"/>
    <col min="11" max="11" width="11.5" style="14" bestFit="1" customWidth="1"/>
    <col min="12" max="12" width="12.83203125" style="36" bestFit="1" customWidth="1"/>
    <col min="14" max="19" width="10.83203125" customWidth="1"/>
    <col min="20" max="20" width="10.5" style="36" customWidth="1"/>
    <col min="21" max="21" width="10.5" style="2" customWidth="1"/>
    <col min="22" max="22" width="10.5" style="19" customWidth="1"/>
    <col min="23" max="23" width="10.5" style="2" customWidth="1"/>
    <col min="24" max="24" width="10.5" style="19" customWidth="1"/>
    <col min="25" max="25" width="10.5" style="2" customWidth="1"/>
    <col min="26" max="26" width="10.5" style="36" customWidth="1"/>
    <col min="27" max="27" width="10.5" customWidth="1"/>
    <col min="28" max="28" width="10.5" style="36" customWidth="1"/>
    <col min="29" max="29" width="10.5" customWidth="1"/>
    <col min="30" max="30" width="10.5" style="36" customWidth="1"/>
    <col min="31" max="31" width="10.5" customWidth="1"/>
    <col min="32" max="32" width="10.5" style="36" customWidth="1"/>
    <col min="33" max="33" width="10.5" customWidth="1"/>
    <col min="34" max="34" width="10.5" style="36" customWidth="1"/>
    <col min="35" max="35" width="10.5" customWidth="1"/>
    <col min="36" max="36" width="10.5" style="36" customWidth="1"/>
    <col min="37" max="37" width="10.5" customWidth="1"/>
    <col min="38" max="38" width="10.5" style="36" customWidth="1"/>
    <col min="39" max="39" width="10.5" customWidth="1"/>
    <col min="40" max="40" width="10.5" style="36" customWidth="1"/>
    <col min="41" max="41" width="10.5" customWidth="1"/>
    <col min="42" max="42" width="10.5" style="36" customWidth="1"/>
    <col min="43" max="43" width="10.5" customWidth="1"/>
    <col min="44" max="44" width="10.5" style="36" customWidth="1"/>
    <col min="45" max="45" width="10.5" customWidth="1"/>
    <col min="46" max="46" width="10.5" style="36" customWidth="1"/>
    <col min="47" max="47" width="10.5" customWidth="1"/>
    <col min="48" max="48" width="10.5" style="36" customWidth="1"/>
    <col min="49" max="49" width="10.5" customWidth="1"/>
    <col min="50" max="50" width="10.5" style="36" customWidth="1"/>
    <col min="51" max="51" width="10.5" customWidth="1"/>
    <col min="52" max="53" width="10.5" style="36" customWidth="1"/>
    <col min="54" max="54" width="10.83203125" customWidth="1"/>
    <col min="55" max="55" width="10.83203125" style="36" customWidth="1"/>
    <col min="56" max="86" width="10.83203125" customWidth="1"/>
    <col min="87" max="87" width="22.83203125" bestFit="1" customWidth="1"/>
    <col min="88" max="88" width="10.83203125" customWidth="1"/>
    <col min="89" max="90" width="10.5" customWidth="1"/>
    <col min="93" max="93" width="13.5" bestFit="1" customWidth="1"/>
    <col min="95" max="95" width="10.5" customWidth="1"/>
    <col min="96" max="96" width="12.5" style="49" bestFit="1" customWidth="1"/>
    <col min="97" max="97" width="8.5" style="47" bestFit="1" customWidth="1"/>
    <col min="98" max="98" width="9.6640625" style="47" bestFit="1" customWidth="1"/>
    <col min="99" max="100" width="10.6640625" style="47" bestFit="1" customWidth="1"/>
    <col min="101" max="102" width="11.6640625" style="47" bestFit="1" customWidth="1"/>
    <col min="103" max="103" width="12.6640625" style="47" bestFit="1" customWidth="1"/>
    <col min="104" max="104" width="14.1640625" style="47" bestFit="1" customWidth="1"/>
    <col min="105" max="105" width="15.6640625" style="47" bestFit="1" customWidth="1"/>
    <col min="106" max="106" width="10.5" style="47" customWidth="1"/>
    <col min="107" max="107" width="10.5" style="36" customWidth="1"/>
    <col min="108" max="108" width="10.5" customWidth="1"/>
    <col min="109" max="109" width="10.5" style="36" customWidth="1"/>
    <col min="110" max="110" width="10.5" customWidth="1"/>
    <col min="111" max="111" width="10.5" style="36" customWidth="1"/>
    <col min="112" max="112" width="10.5" customWidth="1"/>
    <col min="113" max="113" width="10.5" style="36" customWidth="1"/>
    <col min="114" max="114" width="10.5" customWidth="1"/>
    <col min="115" max="115" width="10.5" style="36" customWidth="1"/>
    <col min="116" max="116" width="10.5" customWidth="1"/>
    <col min="117" max="117" width="10.5" style="36" customWidth="1"/>
    <col min="118" max="118" width="10.5" customWidth="1"/>
    <col min="119" max="119" width="10.5" style="36" customWidth="1"/>
    <col min="120" max="120" width="10.5" customWidth="1"/>
    <col min="121" max="121" width="10.5" style="36" customWidth="1"/>
    <col min="122" max="122" width="10.5" customWidth="1"/>
    <col min="123" max="123" width="11.33203125" style="36" bestFit="1" customWidth="1"/>
    <col min="124" max="124" width="12.83203125" style="36" bestFit="1" customWidth="1"/>
    <col min="125" max="125" width="10.5" customWidth="1"/>
  </cols>
  <sheetData>
    <row r="1" spans="1:124" s="17" customFormat="1" ht="30">
      <c r="A1" s="17" t="s">
        <v>27</v>
      </c>
      <c r="B1" s="42" t="s">
        <v>595</v>
      </c>
      <c r="C1" s="17" t="s">
        <v>0</v>
      </c>
      <c r="D1" s="17" t="s">
        <v>33</v>
      </c>
      <c r="E1" s="17" t="s">
        <v>7</v>
      </c>
      <c r="F1" s="17" t="s">
        <v>1</v>
      </c>
      <c r="G1" s="17" t="s">
        <v>6</v>
      </c>
      <c r="H1" s="17" t="s">
        <v>32</v>
      </c>
      <c r="I1" s="42" t="s">
        <v>4</v>
      </c>
      <c r="J1" s="42" t="s">
        <v>5</v>
      </c>
      <c r="K1" s="13" t="s">
        <v>3</v>
      </c>
      <c r="L1" s="13" t="s">
        <v>2</v>
      </c>
      <c r="M1" s="38" t="s">
        <v>684</v>
      </c>
      <c r="N1" s="38" t="s">
        <v>35</v>
      </c>
      <c r="O1" s="13" t="s">
        <v>524</v>
      </c>
      <c r="P1" s="13" t="s">
        <v>525</v>
      </c>
      <c r="Q1" s="13" t="s">
        <v>526</v>
      </c>
      <c r="R1" s="13" t="s">
        <v>527</v>
      </c>
      <c r="S1" s="13" t="s">
        <v>528</v>
      </c>
      <c r="T1" s="13" t="s">
        <v>529</v>
      </c>
      <c r="U1" s="13" t="s">
        <v>530</v>
      </c>
      <c r="V1" s="13" t="s">
        <v>531</v>
      </c>
      <c r="W1" s="13" t="s">
        <v>532</v>
      </c>
      <c r="X1" s="13" t="s">
        <v>533</v>
      </c>
      <c r="Y1" s="13" t="s">
        <v>534</v>
      </c>
      <c r="Z1" s="13" t="s">
        <v>535</v>
      </c>
      <c r="AA1" s="13" t="s">
        <v>536</v>
      </c>
      <c r="AB1" s="13" t="s">
        <v>537</v>
      </c>
      <c r="AC1" s="13" t="s">
        <v>538</v>
      </c>
      <c r="AD1" s="13" t="s">
        <v>539</v>
      </c>
      <c r="AE1" s="13" t="s">
        <v>540</v>
      </c>
      <c r="AF1" s="13" t="s">
        <v>541</v>
      </c>
      <c r="AG1" s="13" t="s">
        <v>542</v>
      </c>
      <c r="AH1" s="13" t="s">
        <v>543</v>
      </c>
      <c r="AI1" s="13" t="s">
        <v>544</v>
      </c>
      <c r="AJ1" s="13" t="s">
        <v>545</v>
      </c>
      <c r="AK1" s="13" t="s">
        <v>546</v>
      </c>
      <c r="AL1" s="13" t="s">
        <v>547</v>
      </c>
      <c r="AM1" s="13" t="s">
        <v>548</v>
      </c>
      <c r="AN1" s="13" t="s">
        <v>549</v>
      </c>
      <c r="AO1" s="13" t="s">
        <v>599</v>
      </c>
      <c r="AP1" s="13" t="s">
        <v>550</v>
      </c>
      <c r="AQ1" s="13" t="s">
        <v>551</v>
      </c>
      <c r="AR1" s="13" t="s">
        <v>552</v>
      </c>
      <c r="AS1" s="13" t="s">
        <v>553</v>
      </c>
      <c r="AT1" s="13" t="s">
        <v>554</v>
      </c>
      <c r="AU1" s="13" t="s">
        <v>555</v>
      </c>
      <c r="AV1" s="13" t="s">
        <v>556</v>
      </c>
      <c r="AW1" s="13" t="s">
        <v>557</v>
      </c>
      <c r="AX1" s="13" t="s">
        <v>558</v>
      </c>
      <c r="AY1" s="13" t="s">
        <v>559</v>
      </c>
      <c r="AZ1" s="13" t="s">
        <v>560</v>
      </c>
      <c r="BA1" s="13" t="s">
        <v>561</v>
      </c>
      <c r="BB1" s="13" t="s">
        <v>562</v>
      </c>
      <c r="BC1" s="13" t="s">
        <v>563</v>
      </c>
      <c r="BD1" s="13" t="s">
        <v>564</v>
      </c>
      <c r="BE1" s="13" t="s">
        <v>565</v>
      </c>
      <c r="BF1" s="13" t="s">
        <v>566</v>
      </c>
      <c r="BG1" s="13" t="s">
        <v>567</v>
      </c>
      <c r="BH1" s="13" t="s">
        <v>568</v>
      </c>
      <c r="BI1" s="13" t="s">
        <v>569</v>
      </c>
      <c r="BJ1" s="13" t="s">
        <v>570</v>
      </c>
      <c r="BK1" s="13" t="s">
        <v>571</v>
      </c>
      <c r="BL1" s="13" t="s">
        <v>572</v>
      </c>
      <c r="BM1" s="13" t="s">
        <v>573</v>
      </c>
      <c r="BN1" s="13" t="s">
        <v>574</v>
      </c>
      <c r="BO1" s="13" t="s">
        <v>575</v>
      </c>
      <c r="BP1" s="13" t="s">
        <v>576</v>
      </c>
      <c r="BQ1" s="13" t="s">
        <v>577</v>
      </c>
      <c r="BR1" s="13" t="s">
        <v>578</v>
      </c>
      <c r="BS1" s="13" t="s">
        <v>579</v>
      </c>
      <c r="BT1" s="13" t="s">
        <v>580</v>
      </c>
      <c r="BU1" s="13" t="s">
        <v>581</v>
      </c>
      <c r="BV1" s="13" t="s">
        <v>582</v>
      </c>
      <c r="BW1" s="13" t="s">
        <v>583</v>
      </c>
      <c r="BX1" s="13" t="s">
        <v>584</v>
      </c>
      <c r="BY1" s="13" t="s">
        <v>585</v>
      </c>
      <c r="BZ1" s="13" t="s">
        <v>586</v>
      </c>
      <c r="CA1" s="13" t="s">
        <v>587</v>
      </c>
      <c r="CB1" s="13" t="s">
        <v>588</v>
      </c>
      <c r="CC1" s="13" t="s">
        <v>589</v>
      </c>
      <c r="CD1" s="13" t="s">
        <v>590</v>
      </c>
      <c r="CE1" s="13" t="s">
        <v>591</v>
      </c>
      <c r="CF1" s="13" t="s">
        <v>592</v>
      </c>
      <c r="CG1" s="13" t="s">
        <v>593</v>
      </c>
      <c r="CH1" s="13" t="s">
        <v>594</v>
      </c>
      <c r="CI1" s="46" t="s">
        <v>600</v>
      </c>
      <c r="CJ1" s="13" t="s">
        <v>702</v>
      </c>
      <c r="CK1" s="13" t="s">
        <v>597</v>
      </c>
      <c r="CL1" s="48" t="s">
        <v>626</v>
      </c>
      <c r="CM1" s="17" t="s">
        <v>596</v>
      </c>
      <c r="CN1" s="13" t="s">
        <v>523</v>
      </c>
      <c r="CO1" s="48" t="s">
        <v>607</v>
      </c>
      <c r="CP1" s="17" t="s">
        <v>521</v>
      </c>
      <c r="CQ1" s="17" t="s">
        <v>522</v>
      </c>
      <c r="CR1" s="17" t="s">
        <v>606</v>
      </c>
      <c r="CS1" s="47" t="s">
        <v>609</v>
      </c>
      <c r="CT1" s="47" t="s">
        <v>610</v>
      </c>
      <c r="CU1" s="47" t="s">
        <v>611</v>
      </c>
      <c r="CV1" s="47" t="s">
        <v>612</v>
      </c>
      <c r="CW1" s="47" t="s">
        <v>613</v>
      </c>
      <c r="CX1" s="47" t="s">
        <v>614</v>
      </c>
      <c r="CY1" s="47" t="s">
        <v>615</v>
      </c>
      <c r="CZ1" s="47" t="s">
        <v>616</v>
      </c>
      <c r="DA1" s="47" t="s">
        <v>617</v>
      </c>
      <c r="DB1" s="47" t="s">
        <v>618</v>
      </c>
    </row>
    <row r="2" spans="1:124">
      <c r="A2" s="22" t="s">
        <v>28</v>
      </c>
      <c r="B2" s="14">
        <v>40962</v>
      </c>
      <c r="C2" t="s">
        <v>24</v>
      </c>
      <c r="D2" t="s">
        <v>34</v>
      </c>
      <c r="E2" s="2" t="s">
        <v>25</v>
      </c>
      <c r="F2" t="s">
        <v>26</v>
      </c>
      <c r="G2" t="s">
        <v>31</v>
      </c>
      <c r="H2" t="str">
        <f>RIGHT(Table1[[#This Row],[Location]],2)</f>
        <v>CT</v>
      </c>
      <c r="I2" s="14">
        <v>41298</v>
      </c>
      <c r="J2" s="14">
        <v>41328</v>
      </c>
      <c r="K2" s="36">
        <v>305</v>
      </c>
      <c r="L2" s="36">
        <v>250</v>
      </c>
      <c r="M2" s="39">
        <v>14</v>
      </c>
      <c r="N2" s="39">
        <v>797</v>
      </c>
      <c r="O2" s="19">
        <v>1</v>
      </c>
      <c r="P2" s="19">
        <v>10</v>
      </c>
      <c r="Q2" s="19">
        <v>20</v>
      </c>
      <c r="R2" s="20">
        <v>35</v>
      </c>
      <c r="S2" s="19"/>
      <c r="T2" s="19"/>
      <c r="U2" s="19"/>
      <c r="W2" s="19"/>
      <c r="Y2" s="19"/>
      <c r="Z2" s="19"/>
      <c r="AA2" s="36"/>
      <c r="AC2" s="36"/>
      <c r="AE2" s="36"/>
      <c r="AG2" s="36"/>
      <c r="AI2" s="36"/>
      <c r="AK2" s="36"/>
      <c r="AM2" s="36"/>
      <c r="AO2" s="36"/>
      <c r="AQ2" s="36"/>
      <c r="AS2" s="36"/>
      <c r="AU2" s="36"/>
      <c r="AW2" s="36"/>
      <c r="AY2" s="2">
        <v>0</v>
      </c>
      <c r="AZ2" s="2">
        <v>3</v>
      </c>
      <c r="BA2" s="2">
        <v>4</v>
      </c>
      <c r="BB2" s="21">
        <v>3</v>
      </c>
      <c r="BC2" s="2"/>
      <c r="BD2" s="2"/>
      <c r="BE2" s="2"/>
      <c r="BF2" s="2"/>
      <c r="BG2" s="2"/>
      <c r="BH2" s="2"/>
      <c r="BI2" s="2"/>
      <c r="BJ2" s="2"/>
      <c r="CI2" s="29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2">
        <f>COUNTA(Table1[[#This Row],[Reward Level 1]:[Reward Level 36]])</f>
        <v>4</v>
      </c>
      <c r="CK2">
        <f>COUNTIF(Table1[[#This Row],[Backers Level 1]:[Backers Level 36]],"&gt;0")</f>
        <v>3</v>
      </c>
      <c r="CL2" s="49">
        <f>Table1[[#This Row],[Pledge]]/Table1[[#This Row],[Backers]]</f>
        <v>21.785714285714285</v>
      </c>
      <c r="CM2" t="str">
        <f>IF(Table1[[#This Row],[Pledge]]=Table1[[#This Row],[Pledge Count]],"OK!","N!")</f>
        <v>N!</v>
      </c>
      <c r="CN2" s="36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215</v>
      </c>
      <c r="CO2" s="49">
        <f>Table1[[#This Row],[Pledge]]-Table1[[#This Row],[Pledge Count]]</f>
        <v>90</v>
      </c>
      <c r="CP2" t="str">
        <f>IF(Table1[[#This Row],[Backers]]=Table1[[#This Row],[Backers Count]],"OK!","N!")</f>
        <v>N!</v>
      </c>
      <c r="CQ2">
        <f>SUM(Table1[[#This Row],[Backers Level 1]:[Backers Level 36]])</f>
        <v>10</v>
      </c>
      <c r="CR2">
        <f>Table1[[#This Row],[Backers]]-Table1[[#This Row],[Backers Count]]</f>
        <v>4</v>
      </c>
      <c r="CS2" s="69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</v>
      </c>
      <c r="CU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</v>
      </c>
      <c r="CV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"/>
      <c r="DE2"/>
      <c r="DG2"/>
      <c r="DI2"/>
      <c r="DK2"/>
      <c r="DM2"/>
      <c r="DO2"/>
      <c r="DQ2"/>
      <c r="DS2"/>
      <c r="DT2"/>
    </row>
    <row r="3" spans="1:124">
      <c r="A3" s="22" t="s">
        <v>29</v>
      </c>
      <c r="B3" s="14">
        <v>40962</v>
      </c>
      <c r="C3" s="23" t="s">
        <v>48</v>
      </c>
      <c r="D3" s="23" t="s">
        <v>49</v>
      </c>
      <c r="E3" s="24" t="s">
        <v>50</v>
      </c>
      <c r="F3" s="23" t="s">
        <v>51</v>
      </c>
      <c r="G3" s="23" t="s">
        <v>52</v>
      </c>
      <c r="H3" s="23" t="str">
        <f>RIGHT(Table1[[#This Row],[Location]],2)</f>
        <v>NY</v>
      </c>
      <c r="I3" s="25">
        <v>41268</v>
      </c>
      <c r="J3" s="25">
        <v>41328</v>
      </c>
      <c r="K3" s="37">
        <v>18338</v>
      </c>
      <c r="L3" s="37">
        <v>15000</v>
      </c>
      <c r="M3" s="40">
        <v>408</v>
      </c>
      <c r="N3" s="40"/>
      <c r="O3" s="26">
        <v>1</v>
      </c>
      <c r="P3" s="26">
        <v>3</v>
      </c>
      <c r="Q3" s="26">
        <v>3</v>
      </c>
      <c r="R3" s="27">
        <v>10</v>
      </c>
      <c r="S3" s="37">
        <v>15</v>
      </c>
      <c r="T3" s="37">
        <v>15</v>
      </c>
      <c r="U3" s="37">
        <v>25</v>
      </c>
      <c r="V3" s="37">
        <v>30</v>
      </c>
      <c r="W3" s="37">
        <v>45</v>
      </c>
      <c r="X3" s="37">
        <v>50</v>
      </c>
      <c r="Y3" s="37">
        <v>55</v>
      </c>
      <c r="Z3" s="37">
        <v>70</v>
      </c>
      <c r="AA3" s="36">
        <v>75</v>
      </c>
      <c r="AB3" s="36">
        <v>75</v>
      </c>
      <c r="AC3" s="36">
        <v>80</v>
      </c>
      <c r="AD3" s="36">
        <v>80</v>
      </c>
      <c r="AE3" s="36">
        <v>100</v>
      </c>
      <c r="AF3" s="36">
        <v>100</v>
      </c>
      <c r="AG3" s="36">
        <v>100</v>
      </c>
      <c r="AH3" s="36">
        <v>110</v>
      </c>
      <c r="AI3" s="36">
        <v>120</v>
      </c>
      <c r="AJ3" s="36">
        <v>150</v>
      </c>
      <c r="AK3" s="36">
        <v>150</v>
      </c>
      <c r="AL3" s="36">
        <v>200</v>
      </c>
      <c r="AM3" s="36">
        <v>250</v>
      </c>
      <c r="AN3" s="36">
        <v>250</v>
      </c>
      <c r="AO3" s="36">
        <v>300</v>
      </c>
      <c r="AP3" s="36">
        <v>500</v>
      </c>
      <c r="AQ3" s="36">
        <v>550</v>
      </c>
      <c r="AR3" s="36">
        <v>600</v>
      </c>
      <c r="AS3" s="36">
        <v>650</v>
      </c>
      <c r="AT3" s="36">
        <v>1000</v>
      </c>
      <c r="AU3" s="36">
        <v>1500</v>
      </c>
      <c r="AV3" s="36">
        <v>7000</v>
      </c>
      <c r="AW3" s="36">
        <v>10000</v>
      </c>
      <c r="AX3" s="36">
        <v>10000</v>
      </c>
      <c r="AY3" s="24">
        <v>15</v>
      </c>
      <c r="AZ3" s="24">
        <v>9</v>
      </c>
      <c r="BA3" s="24">
        <v>10</v>
      </c>
      <c r="BB3" s="28">
        <v>19</v>
      </c>
      <c r="BC3" s="23">
        <v>65</v>
      </c>
      <c r="BD3" s="23">
        <v>38</v>
      </c>
      <c r="BE3" s="23">
        <v>9</v>
      </c>
      <c r="BF3" s="23">
        <v>96</v>
      </c>
      <c r="BG3" s="23">
        <v>9</v>
      </c>
      <c r="BH3" s="23">
        <v>13</v>
      </c>
      <c r="BI3" s="23">
        <v>56</v>
      </c>
      <c r="BJ3" s="23">
        <v>10</v>
      </c>
      <c r="BK3">
        <v>2</v>
      </c>
      <c r="BL3">
        <v>4</v>
      </c>
      <c r="BM3">
        <v>2</v>
      </c>
      <c r="BN3">
        <v>1</v>
      </c>
      <c r="BO3">
        <v>0</v>
      </c>
      <c r="BP3">
        <v>1</v>
      </c>
      <c r="BQ3">
        <v>3</v>
      </c>
      <c r="BR3">
        <v>2</v>
      </c>
      <c r="BS3">
        <v>16</v>
      </c>
      <c r="BT3">
        <v>1</v>
      </c>
      <c r="BU3">
        <v>1</v>
      </c>
      <c r="BV3">
        <v>2</v>
      </c>
      <c r="BW3">
        <v>7</v>
      </c>
      <c r="BX3">
        <v>0</v>
      </c>
      <c r="BY3">
        <v>0</v>
      </c>
      <c r="BZ3">
        <v>1</v>
      </c>
      <c r="CA3">
        <v>0</v>
      </c>
      <c r="CB3">
        <v>1</v>
      </c>
      <c r="CC3">
        <v>0</v>
      </c>
      <c r="CD3">
        <v>1</v>
      </c>
      <c r="CE3">
        <v>0</v>
      </c>
      <c r="CF3">
        <v>0</v>
      </c>
      <c r="CG3">
        <v>0</v>
      </c>
      <c r="CH3">
        <v>0</v>
      </c>
      <c r="CI3" s="30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3">
        <f>COUNTA(Table1[[#This Row],[Reward Level 1]:[Reward Level 36]])</f>
        <v>36</v>
      </c>
      <c r="CK3">
        <f>COUNTIF(Table1[[#This Row],[Backers Level 1]:[Backers Level 36]],"&gt;0")</f>
        <v>27</v>
      </c>
      <c r="CL3" s="49">
        <f>Table1[[#This Row],[Pledge]]/Table1[[#This Row],[Backers]]</f>
        <v>44.946078431372548</v>
      </c>
      <c r="CM3" s="23" t="str">
        <f>IF(Table1[[#This Row],[Pledge]]=Table1[[#This Row],[Pledge Count]],"OK!","N!")</f>
        <v>N!</v>
      </c>
      <c r="CN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9747</v>
      </c>
      <c r="CO3" s="53">
        <f>Table1[[#This Row],[Pledge]]-Table1[[#This Row],[Pledge Count]]</f>
        <v>8591</v>
      </c>
      <c r="CP3" s="23" t="str">
        <f>IF(Table1[[#This Row],[Backers]]=Table1[[#This Row],[Backers Count]],"OK!","N!")</f>
        <v>N!</v>
      </c>
      <c r="CQ3" s="23">
        <f>SUM(Table1[[#This Row],[Backers Level 1]:[Backers Level 36]])</f>
        <v>394</v>
      </c>
      <c r="CR3" s="23">
        <f>Table1[[#This Row],[Backers]]-Table1[[#This Row],[Backers Count]]</f>
        <v>14</v>
      </c>
      <c r="CS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34</v>
      </c>
      <c r="CT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19</v>
      </c>
      <c r="CU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112</v>
      </c>
      <c r="CV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118</v>
      </c>
      <c r="CW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79</v>
      </c>
      <c r="CX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29</v>
      </c>
      <c r="CY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2</v>
      </c>
      <c r="DA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"/>
      <c r="DE3"/>
      <c r="DG3"/>
      <c r="DI3"/>
      <c r="DK3"/>
      <c r="DM3"/>
      <c r="DO3"/>
      <c r="DQ3"/>
      <c r="DS3"/>
      <c r="DT3"/>
    </row>
    <row r="4" spans="1:124">
      <c r="A4" s="22" t="s">
        <v>30</v>
      </c>
      <c r="B4" s="14">
        <v>40962</v>
      </c>
      <c r="C4" s="23" t="s">
        <v>53</v>
      </c>
      <c r="D4" s="23" t="s">
        <v>54</v>
      </c>
      <c r="E4" s="24" t="s">
        <v>55</v>
      </c>
      <c r="F4" t="s">
        <v>26</v>
      </c>
      <c r="G4" s="23" t="s">
        <v>56</v>
      </c>
      <c r="H4" s="23" t="str">
        <f>RIGHT(Table1[[#This Row],[Location]],2)</f>
        <v>OR</v>
      </c>
      <c r="I4" s="25">
        <v>41307</v>
      </c>
      <c r="J4" s="25">
        <v>41328</v>
      </c>
      <c r="K4" s="37">
        <v>1395</v>
      </c>
      <c r="L4" s="37">
        <v>1000</v>
      </c>
      <c r="M4" s="40">
        <v>31</v>
      </c>
      <c r="N4" s="40">
        <v>756</v>
      </c>
      <c r="O4" s="26">
        <v>1</v>
      </c>
      <c r="P4" s="26">
        <v>5</v>
      </c>
      <c r="Q4" s="26">
        <v>10</v>
      </c>
      <c r="R4" s="27">
        <v>15</v>
      </c>
      <c r="S4" s="37">
        <v>25</v>
      </c>
      <c r="T4" s="37">
        <v>50</v>
      </c>
      <c r="U4" s="37">
        <v>75</v>
      </c>
      <c r="V4" s="37">
        <v>100</v>
      </c>
      <c r="W4" s="37">
        <v>250</v>
      </c>
      <c r="X4" s="37"/>
      <c r="Y4" s="37"/>
      <c r="Z4" s="37"/>
      <c r="AA4" s="36"/>
      <c r="AC4" s="36"/>
      <c r="AE4" s="36"/>
      <c r="AG4" s="36"/>
      <c r="AI4" s="36"/>
      <c r="AK4" s="36"/>
      <c r="AM4" s="36"/>
      <c r="AO4" s="36"/>
      <c r="AQ4" s="36"/>
      <c r="AS4" s="36"/>
      <c r="AU4" s="36"/>
      <c r="AW4" s="36"/>
      <c r="AY4" s="24">
        <v>2</v>
      </c>
      <c r="AZ4" s="24">
        <v>0</v>
      </c>
      <c r="BA4" s="24">
        <v>4</v>
      </c>
      <c r="BB4" s="28">
        <v>8</v>
      </c>
      <c r="BC4" s="23">
        <v>4</v>
      </c>
      <c r="BD4" s="23">
        <v>3</v>
      </c>
      <c r="BE4" s="23">
        <v>0</v>
      </c>
      <c r="BF4" s="23">
        <v>3</v>
      </c>
      <c r="BG4" s="23">
        <v>1</v>
      </c>
      <c r="BH4" s="23"/>
      <c r="BI4" s="23"/>
      <c r="BJ4" s="23"/>
      <c r="CI4" s="30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">
        <f>COUNTA(Table1[[#This Row],[Reward Level 1]:[Reward Level 36]])</f>
        <v>9</v>
      </c>
      <c r="CK4">
        <f>COUNTIF(Table1[[#This Row],[Backers Level 1]:[Backers Level 36]],"&gt;0")</f>
        <v>7</v>
      </c>
      <c r="CL4" s="49">
        <f>Table1[[#This Row],[Pledge]]/Table1[[#This Row],[Backers]]</f>
        <v>45</v>
      </c>
      <c r="CM4" s="23" t="str">
        <f>IF(Table1[[#This Row],[Pledge]]=Table1[[#This Row],[Pledge Count]],"OK!","N!")</f>
        <v>N!</v>
      </c>
      <c r="CN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962</v>
      </c>
      <c r="CO4" s="53">
        <f>Table1[[#This Row],[Pledge]]-Table1[[#This Row],[Pledge Count]]</f>
        <v>433</v>
      </c>
      <c r="CP4" s="23" t="str">
        <f>IF(Table1[[#This Row],[Backers]]=Table1[[#This Row],[Backers Count]],"OK!","N!")</f>
        <v>N!</v>
      </c>
      <c r="CQ4" s="23">
        <f>SUM(Table1[[#This Row],[Backers Level 1]:[Backers Level 36]])</f>
        <v>25</v>
      </c>
      <c r="CR4" s="23">
        <f>Table1[[#This Row],[Backers]]-Table1[[#This Row],[Backers Count]]</f>
        <v>6</v>
      </c>
      <c r="CS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12</v>
      </c>
      <c r="CV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"/>
      <c r="DE4"/>
      <c r="DG4"/>
      <c r="DI4"/>
      <c r="DK4"/>
      <c r="DM4"/>
      <c r="DO4"/>
      <c r="DQ4"/>
      <c r="DS4"/>
      <c r="DT4"/>
    </row>
    <row r="5" spans="1:124">
      <c r="A5" s="22" t="s">
        <v>39</v>
      </c>
      <c r="B5" s="14">
        <v>40962</v>
      </c>
      <c r="C5" s="23" t="s">
        <v>57</v>
      </c>
      <c r="D5" s="23" t="s">
        <v>58</v>
      </c>
      <c r="E5" s="24" t="s">
        <v>59</v>
      </c>
      <c r="F5" s="23" t="s">
        <v>60</v>
      </c>
      <c r="G5" s="23" t="s">
        <v>61</v>
      </c>
      <c r="H5" s="32" t="str">
        <f>RIGHT(Table1[[#This Row],[Location]],2)</f>
        <v>CO</v>
      </c>
      <c r="I5" s="25">
        <v>41297</v>
      </c>
      <c r="J5" s="25">
        <v>41328</v>
      </c>
      <c r="K5" s="37">
        <v>1000</v>
      </c>
      <c r="L5" s="37">
        <v>1000</v>
      </c>
      <c r="M5" s="40">
        <v>17</v>
      </c>
      <c r="N5" s="40"/>
      <c r="O5" s="26">
        <v>5</v>
      </c>
      <c r="P5" s="26">
        <v>20</v>
      </c>
      <c r="Q5" s="26">
        <v>100</v>
      </c>
      <c r="R5" s="27"/>
      <c r="S5" s="37"/>
      <c r="T5" s="37"/>
      <c r="U5" s="37"/>
      <c r="V5" s="37"/>
      <c r="W5" s="37"/>
      <c r="X5" s="37"/>
      <c r="Y5" s="37"/>
      <c r="Z5" s="37"/>
      <c r="AA5" s="36"/>
      <c r="AC5" s="36"/>
      <c r="AE5" s="36"/>
      <c r="AG5" s="36"/>
      <c r="AI5" s="36"/>
      <c r="AK5" s="36"/>
      <c r="AM5" s="36"/>
      <c r="AO5" s="36"/>
      <c r="AQ5" s="36"/>
      <c r="AS5" s="36"/>
      <c r="AU5" s="36"/>
      <c r="AW5" s="36"/>
      <c r="AY5" s="24">
        <v>1</v>
      </c>
      <c r="AZ5" s="24">
        <v>7</v>
      </c>
      <c r="BA5" s="24">
        <v>4</v>
      </c>
      <c r="BB5" s="28"/>
      <c r="BC5" s="23"/>
      <c r="BD5" s="23"/>
      <c r="BE5" s="23"/>
      <c r="BF5" s="23"/>
      <c r="BG5" s="23"/>
      <c r="BH5" s="23"/>
      <c r="BI5" s="23"/>
      <c r="BJ5" s="23"/>
      <c r="CI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">
        <f>COUNTA(Table1[[#This Row],[Reward Level 1]:[Reward Level 36]])</f>
        <v>3</v>
      </c>
      <c r="CK5">
        <f>COUNTIF(Table1[[#This Row],[Backers Level 1]:[Backers Level 36]],"&gt;0")</f>
        <v>3</v>
      </c>
      <c r="CL5" s="49">
        <f>Table1[[#This Row],[Pledge]]/Table1[[#This Row],[Backers]]</f>
        <v>58.823529411764703</v>
      </c>
      <c r="CM5" s="32" t="str">
        <f>IF(Table1[[#This Row],[Pledge]]=Table1[[#This Row],[Pledge Count]],"OK!","N!")</f>
        <v>N!</v>
      </c>
      <c r="CN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545</v>
      </c>
      <c r="CO5" s="53">
        <f>Table1[[#This Row],[Pledge]]-Table1[[#This Row],[Pledge Count]]</f>
        <v>455</v>
      </c>
      <c r="CP5" s="32" t="str">
        <f>IF(Table1[[#This Row],[Backers]]=Table1[[#This Row],[Backers Count]],"OK!","N!")</f>
        <v>N!</v>
      </c>
      <c r="CQ5" s="32">
        <f>SUM(Table1[[#This Row],[Backers Level 1]:[Backers Level 36]])</f>
        <v>12</v>
      </c>
      <c r="CR5" s="32">
        <f>Table1[[#This Row],[Backers]]-Table1[[#This Row],[Backers Count]]</f>
        <v>5</v>
      </c>
      <c r="CS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</v>
      </c>
      <c r="CX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"/>
      <c r="DE5"/>
      <c r="DG5"/>
      <c r="DI5"/>
      <c r="DK5"/>
      <c r="DM5"/>
      <c r="DO5"/>
      <c r="DQ5"/>
      <c r="DS5"/>
      <c r="DT5"/>
    </row>
    <row r="6" spans="1:124">
      <c r="A6" s="22" t="s">
        <v>40</v>
      </c>
      <c r="B6" s="14">
        <v>40962</v>
      </c>
      <c r="C6" s="23" t="s">
        <v>62</v>
      </c>
      <c r="D6" s="23" t="s">
        <v>63</v>
      </c>
      <c r="E6" s="24" t="s">
        <v>64</v>
      </c>
      <c r="F6" s="23" t="s">
        <v>65</v>
      </c>
      <c r="G6" s="23" t="s">
        <v>66</v>
      </c>
      <c r="H6" s="32" t="str">
        <f>RIGHT(Table1[[#This Row],[Location]],2)</f>
        <v>VA</v>
      </c>
      <c r="I6" s="25">
        <v>41297</v>
      </c>
      <c r="J6" s="25">
        <v>41327</v>
      </c>
      <c r="K6" s="37">
        <v>10315</v>
      </c>
      <c r="L6" s="37">
        <v>10000</v>
      </c>
      <c r="M6" s="40">
        <v>195</v>
      </c>
      <c r="N6" s="40">
        <v>1516</v>
      </c>
      <c r="O6" s="26">
        <v>10</v>
      </c>
      <c r="P6" s="26">
        <v>20</v>
      </c>
      <c r="Q6" s="26">
        <v>50</v>
      </c>
      <c r="R6" s="27">
        <v>100</v>
      </c>
      <c r="S6" s="37">
        <v>250</v>
      </c>
      <c r="T6" s="37">
        <v>500</v>
      </c>
      <c r="U6" s="37">
        <v>1000</v>
      </c>
      <c r="V6" s="37">
        <v>10000</v>
      </c>
      <c r="W6" s="37"/>
      <c r="X6" s="37"/>
      <c r="Y6" s="37"/>
      <c r="Z6" s="37"/>
      <c r="AA6" s="36"/>
      <c r="AC6" s="36"/>
      <c r="AE6" s="36"/>
      <c r="AG6" s="36"/>
      <c r="AI6" s="36"/>
      <c r="AK6" s="36"/>
      <c r="AM6" s="36"/>
      <c r="AO6" s="36"/>
      <c r="AQ6" s="36"/>
      <c r="AS6" s="36"/>
      <c r="AU6" s="36"/>
      <c r="AW6" s="36"/>
      <c r="AY6" s="24">
        <v>56</v>
      </c>
      <c r="AZ6" s="24">
        <v>78</v>
      </c>
      <c r="BA6" s="24">
        <v>26</v>
      </c>
      <c r="BB6" s="28">
        <v>14</v>
      </c>
      <c r="BC6" s="23">
        <v>4</v>
      </c>
      <c r="BD6" s="23">
        <v>3</v>
      </c>
      <c r="BE6" s="23">
        <v>1</v>
      </c>
      <c r="BF6" s="23">
        <v>0</v>
      </c>
      <c r="BG6" s="23"/>
      <c r="BH6" s="23"/>
      <c r="BI6" s="23"/>
      <c r="BJ6" s="23"/>
      <c r="CI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6">
        <f>COUNTA(Table1[[#This Row],[Reward Level 1]:[Reward Level 36]])</f>
        <v>8</v>
      </c>
      <c r="CK6">
        <f>COUNTIF(Table1[[#This Row],[Backers Level 1]:[Backers Level 36]],"&gt;0")</f>
        <v>7</v>
      </c>
      <c r="CL6" s="49">
        <f>Table1[[#This Row],[Pledge]]/Table1[[#This Row],[Backers]]</f>
        <v>52.897435897435898</v>
      </c>
      <c r="CM6" s="32" t="str">
        <f>IF(Table1[[#This Row],[Pledge]]=Table1[[#This Row],[Pledge Count]],"OK!","N!")</f>
        <v>N!</v>
      </c>
      <c r="CN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8320</v>
      </c>
      <c r="CO6" s="53">
        <f>Table1[[#This Row],[Pledge]]-Table1[[#This Row],[Pledge Count]]</f>
        <v>1995</v>
      </c>
      <c r="CP6" s="32" t="str">
        <f>IF(Table1[[#This Row],[Backers]]=Table1[[#This Row],[Backers Count]],"OK!","N!")</f>
        <v>N!</v>
      </c>
      <c r="CQ6" s="32">
        <f>SUM(Table1[[#This Row],[Backers Level 1]:[Backers Level 36]])</f>
        <v>182</v>
      </c>
      <c r="CR6" s="32">
        <f>Table1[[#This Row],[Backers]]-Table1[[#This Row],[Backers Count]]</f>
        <v>13</v>
      </c>
      <c r="CS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56</v>
      </c>
      <c r="CU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78</v>
      </c>
      <c r="CV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26</v>
      </c>
      <c r="CW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14</v>
      </c>
      <c r="CX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3</v>
      </c>
      <c r="CZ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"/>
      <c r="DE6"/>
      <c r="DG6"/>
      <c r="DI6"/>
      <c r="DK6"/>
      <c r="DM6"/>
      <c r="DO6"/>
      <c r="DQ6"/>
      <c r="DS6"/>
      <c r="DT6"/>
    </row>
    <row r="7" spans="1:124">
      <c r="A7" s="22" t="s">
        <v>41</v>
      </c>
      <c r="B7" s="14">
        <v>40962</v>
      </c>
      <c r="C7" s="23" t="s">
        <v>67</v>
      </c>
      <c r="D7" s="23" t="s">
        <v>68</v>
      </c>
      <c r="E7" s="24" t="s">
        <v>69</v>
      </c>
      <c r="F7" s="23" t="s">
        <v>26</v>
      </c>
      <c r="G7" s="23" t="s">
        <v>70</v>
      </c>
      <c r="H7" s="32" t="str">
        <f>RIGHT(Table1[[#This Row],[Location]],2)</f>
        <v>TN</v>
      </c>
      <c r="I7" s="25">
        <v>41297</v>
      </c>
      <c r="J7" s="25">
        <v>41327</v>
      </c>
      <c r="K7" s="37">
        <v>4180</v>
      </c>
      <c r="L7" s="37">
        <v>4000</v>
      </c>
      <c r="M7" s="40">
        <v>75</v>
      </c>
      <c r="N7" s="40"/>
      <c r="O7" s="26">
        <v>10</v>
      </c>
      <c r="P7" s="26">
        <v>20</v>
      </c>
      <c r="Q7" s="26">
        <v>35</v>
      </c>
      <c r="R7" s="27">
        <v>40</v>
      </c>
      <c r="S7" s="37">
        <v>50</v>
      </c>
      <c r="T7" s="37">
        <v>75</v>
      </c>
      <c r="U7" s="37">
        <v>100</v>
      </c>
      <c r="V7" s="37">
        <v>200</v>
      </c>
      <c r="W7" s="37">
        <v>500</v>
      </c>
      <c r="X7" s="37">
        <v>1000</v>
      </c>
      <c r="Y7" s="37"/>
      <c r="Z7" s="37"/>
      <c r="AA7" s="36"/>
      <c r="AC7" s="36"/>
      <c r="AE7" s="36"/>
      <c r="AG7" s="36"/>
      <c r="AI7" s="36"/>
      <c r="AK7" s="36"/>
      <c r="AM7" s="36"/>
      <c r="AO7" s="36"/>
      <c r="AQ7" s="36"/>
      <c r="AS7" s="36"/>
      <c r="AU7" s="36"/>
      <c r="AW7" s="36"/>
      <c r="AY7" s="24">
        <v>19</v>
      </c>
      <c r="AZ7" s="24">
        <v>22</v>
      </c>
      <c r="BA7" s="24">
        <v>4</v>
      </c>
      <c r="BB7" s="28">
        <v>5</v>
      </c>
      <c r="BC7" s="23">
        <v>7</v>
      </c>
      <c r="BD7" s="23">
        <v>0</v>
      </c>
      <c r="BE7" s="23">
        <v>3</v>
      </c>
      <c r="BF7" s="23">
        <v>6</v>
      </c>
      <c r="BG7" s="23">
        <v>1</v>
      </c>
      <c r="BH7" s="23">
        <v>0</v>
      </c>
      <c r="BI7" s="23"/>
      <c r="BJ7" s="23"/>
      <c r="CI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">
        <f>COUNTA(Table1[[#This Row],[Reward Level 1]:[Reward Level 36]])</f>
        <v>10</v>
      </c>
      <c r="CK7">
        <f>COUNTIF(Table1[[#This Row],[Backers Level 1]:[Backers Level 36]],"&gt;0")</f>
        <v>8</v>
      </c>
      <c r="CL7" s="49">
        <f>Table1[[#This Row],[Pledge]]/Table1[[#This Row],[Backers]]</f>
        <v>55.733333333333334</v>
      </c>
      <c r="CM7" s="32" t="str">
        <f>IF(Table1[[#This Row],[Pledge]]=Table1[[#This Row],[Pledge Count]],"OK!","N!")</f>
        <v>N!</v>
      </c>
      <c r="CN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3320</v>
      </c>
      <c r="CO7" s="53">
        <f>Table1[[#This Row],[Pledge]]-Table1[[#This Row],[Pledge Count]]</f>
        <v>860</v>
      </c>
      <c r="CP7" s="32" t="str">
        <f>IF(Table1[[#This Row],[Backers]]=Table1[[#This Row],[Backers Count]],"OK!","N!")</f>
        <v>N!</v>
      </c>
      <c r="CQ7" s="32">
        <f>SUM(Table1[[#This Row],[Backers Level 1]:[Backers Level 36]])</f>
        <v>67</v>
      </c>
      <c r="CR7" s="32">
        <f>Table1[[#This Row],[Backers]]-Table1[[#This Row],[Backers Count]]</f>
        <v>8</v>
      </c>
      <c r="CS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19</v>
      </c>
      <c r="CU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16</v>
      </c>
      <c r="CW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6</v>
      </c>
      <c r="CY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"/>
      <c r="DE7"/>
      <c r="DG7"/>
      <c r="DI7"/>
      <c r="DK7"/>
      <c r="DM7"/>
      <c r="DO7"/>
      <c r="DQ7"/>
      <c r="DS7"/>
      <c r="DT7"/>
    </row>
    <row r="8" spans="1:124">
      <c r="A8" s="22" t="s">
        <v>42</v>
      </c>
      <c r="B8" s="14">
        <v>40962</v>
      </c>
      <c r="C8" s="23" t="s">
        <v>71</v>
      </c>
      <c r="D8" s="23" t="s">
        <v>72</v>
      </c>
      <c r="E8" s="24" t="s">
        <v>73</v>
      </c>
      <c r="F8" s="23" t="s">
        <v>74</v>
      </c>
      <c r="G8" s="23" t="s">
        <v>75</v>
      </c>
      <c r="H8" s="32" t="str">
        <f>RIGHT(Table1[[#This Row],[Location]],2)</f>
        <v>CO</v>
      </c>
      <c r="I8" s="25">
        <v>41297</v>
      </c>
      <c r="J8" s="25">
        <v>41327</v>
      </c>
      <c r="K8" s="37">
        <v>1623</v>
      </c>
      <c r="L8" s="37">
        <v>1600</v>
      </c>
      <c r="M8" s="40">
        <v>22</v>
      </c>
      <c r="N8" s="40">
        <v>1321</v>
      </c>
      <c r="O8" s="26">
        <v>10</v>
      </c>
      <c r="P8" s="26">
        <v>20</v>
      </c>
      <c r="Q8" s="26"/>
      <c r="R8" s="27"/>
      <c r="S8" s="37"/>
      <c r="T8" s="37"/>
      <c r="U8" s="37"/>
      <c r="V8" s="37"/>
      <c r="W8" s="37"/>
      <c r="X8" s="37"/>
      <c r="Y8" s="37"/>
      <c r="Z8" s="37"/>
      <c r="AA8" s="36"/>
      <c r="AC8" s="36"/>
      <c r="AE8" s="36"/>
      <c r="AG8" s="36"/>
      <c r="AI8" s="36"/>
      <c r="AK8" s="36"/>
      <c r="AM8" s="36"/>
      <c r="AO8" s="36"/>
      <c r="AQ8" s="36"/>
      <c r="AS8" s="36"/>
      <c r="AU8" s="36"/>
      <c r="AW8" s="36"/>
      <c r="AY8" s="24">
        <v>10</v>
      </c>
      <c r="AZ8" s="24">
        <v>11</v>
      </c>
      <c r="BA8" s="24"/>
      <c r="BB8" s="28"/>
      <c r="BC8" s="23"/>
      <c r="BD8" s="23"/>
      <c r="BE8" s="23"/>
      <c r="BF8" s="23"/>
      <c r="BG8" s="23"/>
      <c r="BH8" s="23"/>
      <c r="BI8" s="23"/>
      <c r="BJ8" s="23"/>
      <c r="CI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">
        <f>COUNTA(Table1[[#This Row],[Reward Level 1]:[Reward Level 36]])</f>
        <v>2</v>
      </c>
      <c r="CK8">
        <f>COUNTIF(Table1[[#This Row],[Backers Level 1]:[Backers Level 36]],"&gt;0")</f>
        <v>2</v>
      </c>
      <c r="CL8" s="49">
        <f>Table1[[#This Row],[Pledge]]/Table1[[#This Row],[Backers]]</f>
        <v>73.772727272727266</v>
      </c>
      <c r="CM8" s="32" t="str">
        <f>IF(Table1[[#This Row],[Pledge]]=Table1[[#This Row],[Pledge Count]],"OK!","N!")</f>
        <v>N!</v>
      </c>
      <c r="CN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320</v>
      </c>
      <c r="CO8" s="53">
        <f>Table1[[#This Row],[Pledge]]-Table1[[#This Row],[Pledge Count]]</f>
        <v>1303</v>
      </c>
      <c r="CP8" s="32" t="str">
        <f>IF(Table1[[#This Row],[Backers]]=Table1[[#This Row],[Backers Count]],"OK!","N!")</f>
        <v>N!</v>
      </c>
      <c r="CQ8" s="32">
        <f>SUM(Table1[[#This Row],[Backers Level 1]:[Backers Level 36]])</f>
        <v>21</v>
      </c>
      <c r="CR8" s="32">
        <f>Table1[[#This Row],[Backers]]-Table1[[#This Row],[Backers Count]]</f>
        <v>1</v>
      </c>
      <c r="CS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10</v>
      </c>
      <c r="CU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11</v>
      </c>
      <c r="CV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"/>
      <c r="DE8"/>
      <c r="DG8"/>
      <c r="DI8"/>
      <c r="DK8"/>
      <c r="DM8"/>
      <c r="DO8"/>
      <c r="DQ8"/>
      <c r="DS8"/>
      <c r="DT8"/>
    </row>
    <row r="9" spans="1:124">
      <c r="A9" s="22" t="s">
        <v>43</v>
      </c>
      <c r="B9" s="14">
        <v>40962</v>
      </c>
      <c r="C9" s="23" t="s">
        <v>76</v>
      </c>
      <c r="D9" s="23" t="s">
        <v>77</v>
      </c>
      <c r="E9" s="24" t="s">
        <v>78</v>
      </c>
      <c r="F9" s="23" t="s">
        <v>11</v>
      </c>
      <c r="G9" s="23" t="s">
        <v>79</v>
      </c>
      <c r="H9" s="32" t="str">
        <f>RIGHT(Table1[[#This Row],[Location]],2)</f>
        <v>MA</v>
      </c>
      <c r="I9" s="25">
        <v>41296</v>
      </c>
      <c r="J9" s="25">
        <v>41326</v>
      </c>
      <c r="K9" s="37">
        <v>6630</v>
      </c>
      <c r="L9" s="37">
        <v>6500</v>
      </c>
      <c r="M9" s="40">
        <v>75</v>
      </c>
      <c r="N9" s="40">
        <v>421</v>
      </c>
      <c r="O9" s="26">
        <v>1</v>
      </c>
      <c r="P9" s="26">
        <v>10</v>
      </c>
      <c r="Q9" s="26">
        <v>25</v>
      </c>
      <c r="R9" s="27">
        <v>40</v>
      </c>
      <c r="S9" s="37">
        <v>50</v>
      </c>
      <c r="T9" s="37">
        <v>75</v>
      </c>
      <c r="U9" s="37">
        <v>150</v>
      </c>
      <c r="V9" s="37">
        <v>300</v>
      </c>
      <c r="W9" s="37">
        <v>500</v>
      </c>
      <c r="X9" s="37">
        <v>1250</v>
      </c>
      <c r="Y9" s="37"/>
      <c r="Z9" s="37"/>
      <c r="AA9" s="36"/>
      <c r="AC9" s="36"/>
      <c r="AE9" s="36"/>
      <c r="AG9" s="36"/>
      <c r="AI9" s="36"/>
      <c r="AK9" s="36"/>
      <c r="AM9" s="36"/>
      <c r="AO9" s="36"/>
      <c r="AQ9" s="36"/>
      <c r="AS9" s="36"/>
      <c r="AU9" s="36"/>
      <c r="AW9" s="36"/>
      <c r="AY9" s="24">
        <v>2</v>
      </c>
      <c r="AZ9" s="24">
        <v>12</v>
      </c>
      <c r="BA9" s="24">
        <v>31</v>
      </c>
      <c r="BB9" s="28">
        <v>4</v>
      </c>
      <c r="BC9" s="23">
        <v>8</v>
      </c>
      <c r="BD9" s="23">
        <v>0</v>
      </c>
      <c r="BE9" s="23">
        <v>4</v>
      </c>
      <c r="BF9" s="23">
        <v>1</v>
      </c>
      <c r="BG9" s="23">
        <v>0</v>
      </c>
      <c r="BH9" s="23">
        <v>2</v>
      </c>
      <c r="BI9" s="23"/>
      <c r="BJ9" s="23"/>
      <c r="CI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">
        <f>COUNTA(Table1[[#This Row],[Reward Level 1]:[Reward Level 36]])</f>
        <v>10</v>
      </c>
      <c r="CK9">
        <f>COUNTIF(Table1[[#This Row],[Backers Level 1]:[Backers Level 36]],"&gt;0")</f>
        <v>8</v>
      </c>
      <c r="CL9" s="49">
        <f>Table1[[#This Row],[Pledge]]/Table1[[#This Row],[Backers]]</f>
        <v>88.4</v>
      </c>
      <c r="CM9" s="32" t="str">
        <f>IF(Table1[[#This Row],[Pledge]]=Table1[[#This Row],[Pledge Count]],"OK!","N!")</f>
        <v>N!</v>
      </c>
      <c r="CN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4857</v>
      </c>
      <c r="CO9" s="53">
        <f>Table1[[#This Row],[Pledge]]-Table1[[#This Row],[Pledge Count]]</f>
        <v>1773</v>
      </c>
      <c r="CP9" s="32" t="str">
        <f>IF(Table1[[#This Row],[Backers]]=Table1[[#This Row],[Backers Count]],"OK!","N!")</f>
        <v>N!</v>
      </c>
      <c r="CQ9" s="32">
        <f>SUM(Table1[[#This Row],[Backers Level 1]:[Backers Level 36]])</f>
        <v>64</v>
      </c>
      <c r="CR9" s="32">
        <f>Table1[[#This Row],[Backers]]-Table1[[#This Row],[Backers Count]]</f>
        <v>11</v>
      </c>
      <c r="CS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12</v>
      </c>
      <c r="CU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31</v>
      </c>
      <c r="CV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12</v>
      </c>
      <c r="CW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2</v>
      </c>
      <c r="DB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"/>
      <c r="DE9"/>
      <c r="DG9"/>
      <c r="DI9"/>
      <c r="DK9"/>
      <c r="DM9"/>
      <c r="DO9"/>
      <c r="DQ9"/>
      <c r="DS9"/>
      <c r="DT9"/>
    </row>
    <row r="10" spans="1:124">
      <c r="A10" s="22" t="s">
        <v>44</v>
      </c>
      <c r="B10" s="14">
        <v>40962</v>
      </c>
      <c r="C10" s="23" t="s">
        <v>80</v>
      </c>
      <c r="D10" s="23" t="s">
        <v>81</v>
      </c>
      <c r="E10" s="24" t="s">
        <v>82</v>
      </c>
      <c r="F10" s="23" t="s">
        <v>65</v>
      </c>
      <c r="G10" s="23" t="s">
        <v>83</v>
      </c>
      <c r="H10" s="32" t="str">
        <f>RIGHT(Table1[[#This Row],[Location]],2)</f>
        <v>TN</v>
      </c>
      <c r="I10" s="25">
        <v>41296</v>
      </c>
      <c r="J10" s="25">
        <v>41326</v>
      </c>
      <c r="K10" s="37">
        <v>4236</v>
      </c>
      <c r="L10" s="37">
        <v>3500</v>
      </c>
      <c r="M10" s="40">
        <v>92</v>
      </c>
      <c r="N10" s="40">
        <v>914</v>
      </c>
      <c r="O10" s="26">
        <v>5</v>
      </c>
      <c r="P10" s="26">
        <v>10</v>
      </c>
      <c r="Q10" s="26">
        <v>20</v>
      </c>
      <c r="R10" s="27">
        <v>30</v>
      </c>
      <c r="S10" s="37">
        <v>40</v>
      </c>
      <c r="T10" s="37">
        <v>50</v>
      </c>
      <c r="U10" s="37">
        <v>60</v>
      </c>
      <c r="V10" s="37">
        <v>75</v>
      </c>
      <c r="W10" s="37">
        <v>100</v>
      </c>
      <c r="X10" s="37">
        <v>150</v>
      </c>
      <c r="Y10" s="37">
        <v>250</v>
      </c>
      <c r="Z10" s="37">
        <v>250</v>
      </c>
      <c r="AA10" s="36">
        <v>500</v>
      </c>
      <c r="AB10" s="36">
        <v>500</v>
      </c>
      <c r="AC10" s="36">
        <v>1000</v>
      </c>
      <c r="AD10" s="36">
        <v>1000</v>
      </c>
      <c r="AE10" s="36">
        <v>3500</v>
      </c>
      <c r="AG10" s="36"/>
      <c r="AI10" s="36"/>
      <c r="AK10" s="36"/>
      <c r="AM10" s="36"/>
      <c r="AO10" s="36"/>
      <c r="AQ10" s="36"/>
      <c r="AS10" s="36"/>
      <c r="AU10" s="36"/>
      <c r="AW10" s="36"/>
      <c r="AY10" s="24">
        <v>13</v>
      </c>
      <c r="AZ10" s="24">
        <v>9</v>
      </c>
      <c r="BA10" s="24">
        <v>22</v>
      </c>
      <c r="BB10" s="28">
        <v>7</v>
      </c>
      <c r="BC10" s="23">
        <v>1</v>
      </c>
      <c r="BD10" s="23">
        <v>9</v>
      </c>
      <c r="BE10" s="23">
        <v>1</v>
      </c>
      <c r="BF10" s="23">
        <v>4</v>
      </c>
      <c r="BG10" s="23">
        <v>5</v>
      </c>
      <c r="BH10" s="23">
        <v>2</v>
      </c>
      <c r="BI10" s="23">
        <v>3</v>
      </c>
      <c r="BJ10" s="23">
        <v>0</v>
      </c>
      <c r="BK10">
        <v>0</v>
      </c>
      <c r="BL10">
        <v>1</v>
      </c>
      <c r="BM10">
        <v>0</v>
      </c>
      <c r="BN10">
        <v>0</v>
      </c>
      <c r="BO10">
        <v>0</v>
      </c>
      <c r="CI1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0">
        <f>COUNTA(Table1[[#This Row],[Reward Level 1]:[Reward Level 36]])</f>
        <v>17</v>
      </c>
      <c r="CK10">
        <f>COUNTIF(Table1[[#This Row],[Backers Level 1]:[Backers Level 36]],"&gt;0")</f>
        <v>12</v>
      </c>
      <c r="CL10" s="49">
        <f>Table1[[#This Row],[Pledge]]/Table1[[#This Row],[Backers]]</f>
        <v>46.043478260869563</v>
      </c>
      <c r="CM10" s="32" t="str">
        <f>IF(Table1[[#This Row],[Pledge]]=Table1[[#This Row],[Pledge Count]],"OK!","N!")</f>
        <v>N!</v>
      </c>
      <c r="CN1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3205</v>
      </c>
      <c r="CO10" s="53">
        <f>Table1[[#This Row],[Pledge]]-Table1[[#This Row],[Pledge Count]]</f>
        <v>1031</v>
      </c>
      <c r="CP10" s="32" t="str">
        <f>IF(Table1[[#This Row],[Backers]]=Table1[[#This Row],[Backers Count]],"OK!","N!")</f>
        <v>N!</v>
      </c>
      <c r="CQ10" s="32">
        <f>SUM(Table1[[#This Row],[Backers Level 1]:[Backers Level 36]])</f>
        <v>77</v>
      </c>
      <c r="CR10" s="32">
        <f>Table1[[#This Row],[Backers]]-Table1[[#This Row],[Backers Count]]</f>
        <v>15</v>
      </c>
      <c r="CS1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13</v>
      </c>
      <c r="CT1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9</v>
      </c>
      <c r="CU1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1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17</v>
      </c>
      <c r="CW1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10</v>
      </c>
      <c r="CX1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5</v>
      </c>
      <c r="CY1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1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0"/>
      <c r="DE10"/>
      <c r="DG10"/>
      <c r="DI10"/>
      <c r="DK10"/>
      <c r="DM10"/>
      <c r="DO10"/>
      <c r="DQ10"/>
      <c r="DS10"/>
      <c r="DT10"/>
    </row>
    <row r="11" spans="1:124">
      <c r="A11" s="22" t="s">
        <v>45</v>
      </c>
      <c r="B11" s="14">
        <v>40962</v>
      </c>
      <c r="C11" s="23" t="s">
        <v>84</v>
      </c>
      <c r="D11" s="23" t="s">
        <v>85</v>
      </c>
      <c r="E11" s="24" t="s">
        <v>86</v>
      </c>
      <c r="F11" s="23" t="s">
        <v>87</v>
      </c>
      <c r="G11" s="23" t="s">
        <v>88</v>
      </c>
      <c r="H11" s="32" t="str">
        <f>RIGHT(Table1[[#This Row],[Location]],2)</f>
        <v>TX</v>
      </c>
      <c r="I11" s="25">
        <v>41296</v>
      </c>
      <c r="J11" s="25">
        <v>41326</v>
      </c>
      <c r="K11" s="37">
        <v>2605</v>
      </c>
      <c r="L11" s="37">
        <v>2500</v>
      </c>
      <c r="M11" s="40">
        <v>62</v>
      </c>
      <c r="N11" s="40">
        <v>721</v>
      </c>
      <c r="O11" s="26">
        <v>10</v>
      </c>
      <c r="P11" s="26">
        <v>20</v>
      </c>
      <c r="Q11" s="26">
        <v>30</v>
      </c>
      <c r="R11" s="27">
        <v>40</v>
      </c>
      <c r="S11" s="37">
        <v>50</v>
      </c>
      <c r="T11" s="37">
        <v>60</v>
      </c>
      <c r="U11" s="37">
        <v>100</v>
      </c>
      <c r="V11" s="37">
        <v>500</v>
      </c>
      <c r="W11" s="37"/>
      <c r="X11" s="37"/>
      <c r="Y11" s="37"/>
      <c r="Z11" s="37"/>
      <c r="AA11" s="36"/>
      <c r="AC11" s="36"/>
      <c r="AE11" s="36"/>
      <c r="AG11" s="36"/>
      <c r="AI11" s="36"/>
      <c r="AK11" s="36"/>
      <c r="AM11" s="36"/>
      <c r="AO11" s="36"/>
      <c r="AQ11" s="36"/>
      <c r="AS11" s="36"/>
      <c r="AU11" s="36"/>
      <c r="AW11" s="36"/>
      <c r="AY11" s="24">
        <v>19</v>
      </c>
      <c r="AZ11" s="24">
        <v>8</v>
      </c>
      <c r="BA11" s="24">
        <v>8</v>
      </c>
      <c r="BB11" s="28">
        <v>5</v>
      </c>
      <c r="BC11" s="23">
        <v>3</v>
      </c>
      <c r="BD11" s="23">
        <v>3</v>
      </c>
      <c r="BE11" s="23">
        <v>7</v>
      </c>
      <c r="BF11" s="23">
        <v>1</v>
      </c>
      <c r="BG11" s="23"/>
      <c r="BH11" s="23"/>
      <c r="BI11" s="23"/>
      <c r="BJ11" s="23"/>
      <c r="CI1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1">
        <f>COUNTA(Table1[[#This Row],[Reward Level 1]:[Reward Level 36]])</f>
        <v>8</v>
      </c>
      <c r="CK11">
        <f>COUNTIF(Table1[[#This Row],[Backers Level 1]:[Backers Level 36]],"&gt;0")</f>
        <v>8</v>
      </c>
      <c r="CL11" s="49">
        <f>Table1[[#This Row],[Pledge]]/Table1[[#This Row],[Backers]]</f>
        <v>42.016129032258064</v>
      </c>
      <c r="CM11" s="32" t="str">
        <f>IF(Table1[[#This Row],[Pledge]]=Table1[[#This Row],[Pledge Count]],"OK!","N!")</f>
        <v>N!</v>
      </c>
      <c r="CN1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2320</v>
      </c>
      <c r="CO11" s="53">
        <f>Table1[[#This Row],[Pledge]]-Table1[[#This Row],[Pledge Count]]</f>
        <v>285</v>
      </c>
      <c r="CP11" s="32" t="str">
        <f>IF(Table1[[#This Row],[Backers]]=Table1[[#This Row],[Backers Count]],"OK!","N!")</f>
        <v>N!</v>
      </c>
      <c r="CQ11" s="32">
        <f>SUM(Table1[[#This Row],[Backers Level 1]:[Backers Level 36]])</f>
        <v>54</v>
      </c>
      <c r="CR11" s="32">
        <f>Table1[[#This Row],[Backers]]-Table1[[#This Row],[Backers Count]]</f>
        <v>8</v>
      </c>
      <c r="CS1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19</v>
      </c>
      <c r="CU1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8</v>
      </c>
      <c r="CV1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16</v>
      </c>
      <c r="CW1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10</v>
      </c>
      <c r="CX1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1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1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1"/>
      <c r="DE11"/>
      <c r="DG11"/>
      <c r="DI11"/>
      <c r="DK11"/>
      <c r="DM11"/>
      <c r="DO11"/>
      <c r="DQ11"/>
      <c r="DS11"/>
      <c r="DT11"/>
    </row>
    <row r="12" spans="1:124">
      <c r="A12" s="22" t="s">
        <v>46</v>
      </c>
      <c r="B12" s="14">
        <v>40962</v>
      </c>
      <c r="C12" s="23" t="s">
        <v>89</v>
      </c>
      <c r="D12" s="23" t="s">
        <v>90</v>
      </c>
      <c r="E12" s="24" t="s">
        <v>91</v>
      </c>
      <c r="F12" s="23" t="s">
        <v>51</v>
      </c>
      <c r="G12" s="23" t="s">
        <v>92</v>
      </c>
      <c r="H12" s="32" t="str">
        <f>RIGHT(Table1[[#This Row],[Location]],2)</f>
        <v>NC</v>
      </c>
      <c r="I12" s="25">
        <v>41307</v>
      </c>
      <c r="J12" s="25">
        <v>41326</v>
      </c>
      <c r="K12" s="37">
        <v>3120</v>
      </c>
      <c r="L12" s="37">
        <v>2550</v>
      </c>
      <c r="M12" s="40">
        <v>40</v>
      </c>
      <c r="N12" s="40">
        <v>650</v>
      </c>
      <c r="O12" s="26">
        <v>5</v>
      </c>
      <c r="P12" s="26">
        <v>20</v>
      </c>
      <c r="Q12" s="26">
        <v>50</v>
      </c>
      <c r="R12" s="27">
        <v>150</v>
      </c>
      <c r="S12" s="37"/>
      <c r="T12" s="37"/>
      <c r="U12" s="37"/>
      <c r="V12" s="37"/>
      <c r="W12" s="37"/>
      <c r="X12" s="37"/>
      <c r="Y12" s="37"/>
      <c r="Z12" s="37"/>
      <c r="AA12" s="36"/>
      <c r="AC12" s="36"/>
      <c r="AE12" s="36"/>
      <c r="AG12" s="36"/>
      <c r="AI12" s="36"/>
      <c r="AK12" s="36"/>
      <c r="AM12" s="36"/>
      <c r="AO12" s="36"/>
      <c r="AQ12" s="36"/>
      <c r="AS12" s="36"/>
      <c r="AU12" s="36"/>
      <c r="AW12" s="36"/>
      <c r="AY12" s="24">
        <v>4</v>
      </c>
      <c r="AZ12" s="24">
        <v>16</v>
      </c>
      <c r="BA12" s="24">
        <v>6</v>
      </c>
      <c r="BB12" s="28">
        <v>8</v>
      </c>
      <c r="BC12" s="23"/>
      <c r="BD12" s="23"/>
      <c r="BE12" s="23"/>
      <c r="BF12" s="23"/>
      <c r="BG12" s="23"/>
      <c r="BH12" s="23"/>
      <c r="BI12" s="23"/>
      <c r="BJ12" s="23"/>
      <c r="CI1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2">
        <f>COUNTA(Table1[[#This Row],[Reward Level 1]:[Reward Level 36]])</f>
        <v>4</v>
      </c>
      <c r="CK12">
        <f>COUNTIF(Table1[[#This Row],[Backers Level 1]:[Backers Level 36]],"&gt;0")</f>
        <v>4</v>
      </c>
      <c r="CL12" s="49">
        <f>Table1[[#This Row],[Pledge]]/Table1[[#This Row],[Backers]]</f>
        <v>78</v>
      </c>
      <c r="CM12" s="32" t="str">
        <f>IF(Table1[[#This Row],[Pledge]]=Table1[[#This Row],[Pledge Count]],"OK!","N!")</f>
        <v>N!</v>
      </c>
      <c r="CN1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1840</v>
      </c>
      <c r="CO12" s="53">
        <f>Table1[[#This Row],[Pledge]]-Table1[[#This Row],[Pledge Count]]</f>
        <v>1280</v>
      </c>
      <c r="CP12" s="32" t="str">
        <f>IF(Table1[[#This Row],[Backers]]=Table1[[#This Row],[Backers Count]],"OK!","N!")</f>
        <v>N!</v>
      </c>
      <c r="CQ12" s="32">
        <f>SUM(Table1[[#This Row],[Backers Level 1]:[Backers Level 36]])</f>
        <v>34</v>
      </c>
      <c r="CR12" s="32">
        <f>Table1[[#This Row],[Backers]]-Table1[[#This Row],[Backers Count]]</f>
        <v>6</v>
      </c>
      <c r="CS1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4</v>
      </c>
      <c r="CT1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16</v>
      </c>
      <c r="CV1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1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1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8</v>
      </c>
      <c r="CY1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1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2"/>
      <c r="DE12"/>
      <c r="DG12"/>
      <c r="DI12"/>
      <c r="DK12"/>
      <c r="DM12"/>
      <c r="DO12"/>
      <c r="DQ12"/>
      <c r="DS12"/>
      <c r="DT12"/>
    </row>
    <row r="13" spans="1:124">
      <c r="A13" s="22" t="s">
        <v>47</v>
      </c>
      <c r="B13" s="14">
        <v>40962</v>
      </c>
      <c r="C13" s="23" t="s">
        <v>100</v>
      </c>
      <c r="D13" s="23" t="s">
        <v>101</v>
      </c>
      <c r="E13" s="24" t="s">
        <v>102</v>
      </c>
      <c r="F13" s="23" t="s">
        <v>87</v>
      </c>
      <c r="G13" s="23" t="s">
        <v>56</v>
      </c>
      <c r="H13" s="32" t="str">
        <f>RIGHT(Table1[[#This Row],[Location]],2)</f>
        <v>OR</v>
      </c>
      <c r="I13" s="25">
        <v>41312</v>
      </c>
      <c r="J13" s="25">
        <v>41326</v>
      </c>
      <c r="K13" s="37">
        <v>440</v>
      </c>
      <c r="L13" s="37">
        <v>400</v>
      </c>
      <c r="M13" s="40">
        <v>10</v>
      </c>
      <c r="N13" s="40">
        <v>820</v>
      </c>
      <c r="O13" s="26">
        <v>10</v>
      </c>
      <c r="P13" s="26">
        <v>20</v>
      </c>
      <c r="Q13" s="26">
        <v>40</v>
      </c>
      <c r="R13" s="27">
        <v>100</v>
      </c>
      <c r="S13" s="37">
        <v>400</v>
      </c>
      <c r="T13" s="37"/>
      <c r="U13" s="37"/>
      <c r="V13" s="37"/>
      <c r="W13" s="37"/>
      <c r="X13" s="37"/>
      <c r="Y13" s="37"/>
      <c r="Z13" s="37"/>
      <c r="AA13" s="36"/>
      <c r="AC13" s="36"/>
      <c r="AE13" s="36"/>
      <c r="AG13" s="36"/>
      <c r="AI13" s="36"/>
      <c r="AK13" s="36"/>
      <c r="AM13" s="36"/>
      <c r="AO13" s="36"/>
      <c r="AQ13" s="36"/>
      <c r="AS13" s="36"/>
      <c r="AU13" s="36"/>
      <c r="AW13" s="36"/>
      <c r="AY13" s="24">
        <v>2</v>
      </c>
      <c r="AZ13" s="24">
        <v>0</v>
      </c>
      <c r="BA13" s="24">
        <v>5</v>
      </c>
      <c r="BB13" s="28">
        <v>1</v>
      </c>
      <c r="BC13" s="23">
        <v>0</v>
      </c>
      <c r="BD13" s="23"/>
      <c r="BE13" s="23"/>
      <c r="BF13" s="23"/>
      <c r="BG13" s="23"/>
      <c r="BH13" s="23"/>
      <c r="BI13" s="23"/>
      <c r="BJ13" s="23"/>
      <c r="CI1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13">
        <f>COUNTA(Table1[[#This Row],[Reward Level 1]:[Reward Level 36]])</f>
        <v>5</v>
      </c>
      <c r="CK13">
        <f>COUNTIF(Table1[[#This Row],[Backers Level 1]:[Backers Level 36]],"&gt;0")</f>
        <v>3</v>
      </c>
      <c r="CL13" s="49">
        <f>Table1[[#This Row],[Pledge]]/Table1[[#This Row],[Backers]]</f>
        <v>44</v>
      </c>
      <c r="CM13" s="32" t="str">
        <f>IF(Table1[[#This Row],[Pledge]]=Table1[[#This Row],[Pledge Count]],"OK!","N!")</f>
        <v>N!</v>
      </c>
      <c r="CN1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320</v>
      </c>
      <c r="CO13" s="53">
        <f>Table1[[#This Row],[Pledge]]-Table1[[#This Row],[Pledge Count]]</f>
        <v>120</v>
      </c>
      <c r="CP13" s="32" t="str">
        <f>IF(Table1[[#This Row],[Backers]]=Table1[[#This Row],[Backers Count]],"OK!","N!")</f>
        <v>N!</v>
      </c>
      <c r="CQ13" s="32">
        <f>SUM(Table1[[#This Row],[Backers Level 1]:[Backers Level 36]])</f>
        <v>8</v>
      </c>
      <c r="CR13" s="32">
        <f>Table1[[#This Row],[Backers]]-Table1[[#This Row],[Backers Count]]</f>
        <v>2</v>
      </c>
      <c r="CS1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</v>
      </c>
      <c r="CU1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0</v>
      </c>
      <c r="CV1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</v>
      </c>
      <c r="CW1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1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1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1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3"/>
      <c r="DE13"/>
      <c r="DG13"/>
      <c r="DI13"/>
      <c r="DK13"/>
      <c r="DM13"/>
      <c r="DO13"/>
      <c r="DQ13"/>
      <c r="DS13"/>
      <c r="DT13"/>
    </row>
    <row r="14" spans="1:124">
      <c r="A14" s="22" t="s">
        <v>93</v>
      </c>
      <c r="B14" s="14">
        <v>40962</v>
      </c>
      <c r="C14" s="23" t="s">
        <v>103</v>
      </c>
      <c r="D14" s="23" t="s">
        <v>104</v>
      </c>
      <c r="E14" s="24" t="s">
        <v>105</v>
      </c>
      <c r="F14" s="23" t="s">
        <v>11</v>
      </c>
      <c r="G14" s="23" t="s">
        <v>106</v>
      </c>
      <c r="H14" s="32" t="str">
        <f>RIGHT(Table1[[#This Row],[Location]],2)</f>
        <v>TX</v>
      </c>
      <c r="I14" s="25">
        <v>41292</v>
      </c>
      <c r="J14" s="25">
        <v>41326</v>
      </c>
      <c r="K14" s="37">
        <v>2551</v>
      </c>
      <c r="L14" s="37">
        <v>2500</v>
      </c>
      <c r="M14" s="40">
        <v>34</v>
      </c>
      <c r="N14" s="40">
        <v>291</v>
      </c>
      <c r="O14" s="26">
        <v>10</v>
      </c>
      <c r="P14" s="26">
        <v>20</v>
      </c>
      <c r="Q14" s="26">
        <v>34</v>
      </c>
      <c r="R14" s="27">
        <v>40</v>
      </c>
      <c r="S14" s="37">
        <v>80</v>
      </c>
      <c r="T14" s="37">
        <v>150</v>
      </c>
      <c r="U14" s="37"/>
      <c r="V14" s="37"/>
      <c r="W14" s="37"/>
      <c r="X14" s="37"/>
      <c r="Y14" s="37"/>
      <c r="Z14" s="37"/>
      <c r="AA14" s="36"/>
      <c r="AC14" s="36"/>
      <c r="AE14" s="36"/>
      <c r="AG14" s="36"/>
      <c r="AI14" s="36"/>
      <c r="AK14" s="36"/>
      <c r="AM14" s="36"/>
      <c r="AO14" s="36"/>
      <c r="AQ14" s="36"/>
      <c r="AS14" s="36"/>
      <c r="AU14" s="36"/>
      <c r="AW14" s="36"/>
      <c r="AY14" s="24">
        <v>6</v>
      </c>
      <c r="AZ14" s="24">
        <v>6</v>
      </c>
      <c r="BA14" s="24">
        <v>1</v>
      </c>
      <c r="BB14" s="28">
        <v>3</v>
      </c>
      <c r="BC14" s="23">
        <v>4</v>
      </c>
      <c r="BD14" s="23">
        <v>10</v>
      </c>
      <c r="BE14" s="23"/>
      <c r="BF14" s="23"/>
      <c r="BG14" s="23"/>
      <c r="BH14" s="23"/>
      <c r="BI14" s="23"/>
      <c r="BJ14" s="23"/>
      <c r="CI1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4">
        <f>COUNTA(Table1[[#This Row],[Reward Level 1]:[Reward Level 36]])</f>
        <v>6</v>
      </c>
      <c r="CK14">
        <f>COUNTIF(Table1[[#This Row],[Backers Level 1]:[Backers Level 36]],"&gt;0")</f>
        <v>6</v>
      </c>
      <c r="CL14" s="49">
        <f>Table1[[#This Row],[Pledge]]/Table1[[#This Row],[Backers]]</f>
        <v>75.029411764705884</v>
      </c>
      <c r="CM14" s="32" t="str">
        <f>IF(Table1[[#This Row],[Pledge]]=Table1[[#This Row],[Pledge Count]],"OK!","N!")</f>
        <v>N!</v>
      </c>
      <c r="CN1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2154</v>
      </c>
      <c r="CO14" s="53">
        <f>Table1[[#This Row],[Pledge]]-Table1[[#This Row],[Pledge Count]]</f>
        <v>397</v>
      </c>
      <c r="CP14" s="32" t="str">
        <f>IF(Table1[[#This Row],[Backers]]=Table1[[#This Row],[Backers Count]],"OK!","N!")</f>
        <v>N!</v>
      </c>
      <c r="CQ14" s="32">
        <f>SUM(Table1[[#This Row],[Backers Level 1]:[Backers Level 36]])</f>
        <v>30</v>
      </c>
      <c r="CR14" s="32">
        <f>Table1[[#This Row],[Backers]]-Table1[[#This Row],[Backers Count]]</f>
        <v>4</v>
      </c>
      <c r="CS1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6</v>
      </c>
      <c r="CU1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6</v>
      </c>
      <c r="CV1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1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</v>
      </c>
      <c r="CX1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10</v>
      </c>
      <c r="CY1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1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4"/>
      <c r="DE14"/>
      <c r="DG14"/>
      <c r="DI14"/>
      <c r="DK14"/>
      <c r="DM14"/>
      <c r="DO14"/>
      <c r="DQ14"/>
      <c r="DS14"/>
      <c r="DT14"/>
    </row>
    <row r="15" spans="1:124">
      <c r="A15" s="22" t="s">
        <v>94</v>
      </c>
      <c r="B15" s="14">
        <v>40962</v>
      </c>
      <c r="C15" s="23" t="s">
        <v>107</v>
      </c>
      <c r="D15" s="23" t="s">
        <v>108</v>
      </c>
      <c r="E15" s="24" t="s">
        <v>109</v>
      </c>
      <c r="F15" s="23" t="s">
        <v>110</v>
      </c>
      <c r="G15" s="23" t="s">
        <v>111</v>
      </c>
      <c r="H15" s="32" t="str">
        <f>RIGHT(Table1[[#This Row],[Location]],2)</f>
        <v>NY</v>
      </c>
      <c r="I15" s="25">
        <v>41296</v>
      </c>
      <c r="J15" s="25">
        <v>41295</v>
      </c>
      <c r="K15" s="37">
        <v>4434</v>
      </c>
      <c r="L15" s="37">
        <v>3250</v>
      </c>
      <c r="M15" s="40">
        <v>108</v>
      </c>
      <c r="N15" s="40"/>
      <c r="O15" s="26">
        <v>7</v>
      </c>
      <c r="P15" s="26">
        <v>20</v>
      </c>
      <c r="Q15" s="26">
        <v>25</v>
      </c>
      <c r="R15" s="27">
        <v>35</v>
      </c>
      <c r="S15" s="37">
        <v>50</v>
      </c>
      <c r="T15" s="37">
        <v>70</v>
      </c>
      <c r="U15" s="37">
        <v>115</v>
      </c>
      <c r="V15" s="37">
        <v>500</v>
      </c>
      <c r="W15" s="37"/>
      <c r="X15" s="37"/>
      <c r="Y15" s="37"/>
      <c r="Z15" s="37"/>
      <c r="AA15" s="36"/>
      <c r="AC15" s="36"/>
      <c r="AE15" s="36"/>
      <c r="AG15" s="36"/>
      <c r="AI15" s="36"/>
      <c r="AK15" s="36"/>
      <c r="AM15" s="36"/>
      <c r="AO15" s="36"/>
      <c r="AQ15" s="36"/>
      <c r="AS15" s="36"/>
      <c r="AU15" s="36"/>
      <c r="AW15" s="36"/>
      <c r="AY15" s="24">
        <v>7</v>
      </c>
      <c r="AZ15" s="24">
        <v>51</v>
      </c>
      <c r="BA15" s="24">
        <v>10</v>
      </c>
      <c r="BB15" s="28">
        <v>17</v>
      </c>
      <c r="BC15" s="23">
        <v>9</v>
      </c>
      <c r="BD15" s="23">
        <v>8</v>
      </c>
      <c r="BE15" s="23">
        <v>2</v>
      </c>
      <c r="BF15" s="23">
        <v>2</v>
      </c>
      <c r="BG15" s="23"/>
      <c r="BH15" s="23"/>
      <c r="BI15" s="23"/>
      <c r="BJ15" s="23"/>
      <c r="CI1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5">
        <f>COUNTA(Table1[[#This Row],[Reward Level 1]:[Reward Level 36]])</f>
        <v>8</v>
      </c>
      <c r="CK15">
        <f>COUNTIF(Table1[[#This Row],[Backers Level 1]:[Backers Level 36]],"&gt;0")</f>
        <v>8</v>
      </c>
      <c r="CL15" s="49">
        <f>Table1[[#This Row],[Pledge]]/Table1[[#This Row],[Backers]]</f>
        <v>41.055555555555557</v>
      </c>
      <c r="CM15" s="32" t="str">
        <f>IF(Table1[[#This Row],[Pledge]]=Table1[[#This Row],[Pledge Count]],"OK!","N!")</f>
        <v>N!</v>
      </c>
      <c r="CN1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4154</v>
      </c>
      <c r="CO15" s="53">
        <f>Table1[[#This Row],[Pledge]]-Table1[[#This Row],[Pledge Count]]</f>
        <v>280</v>
      </c>
      <c r="CP15" s="32" t="str">
        <f>IF(Table1[[#This Row],[Backers]]=Table1[[#This Row],[Backers Count]],"OK!","N!")</f>
        <v>N!</v>
      </c>
      <c r="CQ15" s="32">
        <f>SUM(Table1[[#This Row],[Backers Level 1]:[Backers Level 36]])</f>
        <v>106</v>
      </c>
      <c r="CR15" s="32">
        <f>Table1[[#This Row],[Backers]]-Table1[[#This Row],[Backers Count]]</f>
        <v>2</v>
      </c>
      <c r="CS1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7</v>
      </c>
      <c r="CU1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61</v>
      </c>
      <c r="CV1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26</v>
      </c>
      <c r="CW1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1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</v>
      </c>
      <c r="CY1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1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5"/>
      <c r="DE15"/>
      <c r="DG15"/>
      <c r="DI15"/>
      <c r="DK15"/>
      <c r="DM15"/>
      <c r="DO15"/>
      <c r="DQ15"/>
      <c r="DS15"/>
      <c r="DT15"/>
    </row>
    <row r="16" spans="1:124">
      <c r="A16" s="22" t="s">
        <v>95</v>
      </c>
      <c r="B16" s="14">
        <v>40962</v>
      </c>
      <c r="C16" s="23" t="s">
        <v>112</v>
      </c>
      <c r="D16" s="23" t="s">
        <v>113</v>
      </c>
      <c r="E16" s="24" t="s">
        <v>114</v>
      </c>
      <c r="F16" s="23" t="s">
        <v>65</v>
      </c>
      <c r="G16" s="23" t="s">
        <v>115</v>
      </c>
      <c r="H16" s="32" t="str">
        <f>RIGHT(Table1[[#This Row],[Location]],2)</f>
        <v>UT</v>
      </c>
      <c r="I16" s="25">
        <v>41296</v>
      </c>
      <c r="J16" s="25">
        <v>41326</v>
      </c>
      <c r="K16" s="37">
        <v>3565</v>
      </c>
      <c r="L16" s="37">
        <v>3500</v>
      </c>
      <c r="M16" s="40">
        <v>46</v>
      </c>
      <c r="N16" s="40"/>
      <c r="O16" s="26">
        <v>1</v>
      </c>
      <c r="P16" s="26">
        <v>5</v>
      </c>
      <c r="Q16" s="26">
        <v>15</v>
      </c>
      <c r="R16" s="27">
        <v>25</v>
      </c>
      <c r="S16" s="37">
        <v>35</v>
      </c>
      <c r="T16" s="37">
        <v>45</v>
      </c>
      <c r="U16" s="37">
        <v>50</v>
      </c>
      <c r="V16" s="37">
        <v>60</v>
      </c>
      <c r="W16" s="37">
        <v>75</v>
      </c>
      <c r="X16" s="37">
        <v>95</v>
      </c>
      <c r="Y16" s="37">
        <v>125</v>
      </c>
      <c r="Z16" s="37">
        <v>140</v>
      </c>
      <c r="AA16" s="36">
        <v>200</v>
      </c>
      <c r="AB16" s="36">
        <v>250</v>
      </c>
      <c r="AC16" s="36">
        <v>1500</v>
      </c>
      <c r="AE16" s="36"/>
      <c r="AG16" s="36"/>
      <c r="AI16" s="36"/>
      <c r="AK16" s="36"/>
      <c r="AM16" s="36"/>
      <c r="AO16" s="36"/>
      <c r="AQ16" s="36"/>
      <c r="AS16" s="36"/>
      <c r="AU16" s="36"/>
      <c r="AW16" s="36"/>
      <c r="AY16" s="24">
        <v>0</v>
      </c>
      <c r="AZ16" s="24">
        <v>1</v>
      </c>
      <c r="BA16" s="24">
        <v>2</v>
      </c>
      <c r="BB16" s="28">
        <v>10</v>
      </c>
      <c r="BC16" s="23">
        <v>9</v>
      </c>
      <c r="BD16" s="23">
        <v>3</v>
      </c>
      <c r="BE16" s="23">
        <v>0</v>
      </c>
      <c r="BF16" s="23">
        <v>1</v>
      </c>
      <c r="BG16" s="23">
        <v>1</v>
      </c>
      <c r="BH16" s="23">
        <v>3</v>
      </c>
      <c r="BI16" s="23">
        <v>4</v>
      </c>
      <c r="BJ16" s="23">
        <v>1</v>
      </c>
      <c r="BK16">
        <v>4</v>
      </c>
      <c r="BL16">
        <v>2</v>
      </c>
      <c r="BM16">
        <v>0</v>
      </c>
      <c r="CI1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6">
        <f>COUNTA(Table1[[#This Row],[Reward Level 1]:[Reward Level 36]])</f>
        <v>15</v>
      </c>
      <c r="CK16">
        <f>COUNTIF(Table1[[#This Row],[Backers Level 1]:[Backers Level 36]],"&gt;0")</f>
        <v>12</v>
      </c>
      <c r="CL16" s="49">
        <f>Table1[[#This Row],[Pledge]]/Table1[[#This Row],[Backers]]</f>
        <v>77.5</v>
      </c>
      <c r="CM16" s="32" t="str">
        <f>IF(Table1[[#This Row],[Pledge]]=Table1[[#This Row],[Pledge Count]],"OK!","N!")</f>
        <v>N!</v>
      </c>
      <c r="CN1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1795</v>
      </c>
      <c r="CO16" s="53">
        <f>Table1[[#This Row],[Pledge]]-Table1[[#This Row],[Pledge Count]]</f>
        <v>1770</v>
      </c>
      <c r="CP16" s="32" t="str">
        <f>IF(Table1[[#This Row],[Backers]]=Table1[[#This Row],[Backers Count]],"OK!","N!")</f>
        <v>N!</v>
      </c>
      <c r="CQ16" s="32">
        <f>SUM(Table1[[#This Row],[Backers Level 1]:[Backers Level 36]])</f>
        <v>41</v>
      </c>
      <c r="CR16" s="32">
        <f>Table1[[#This Row],[Backers]]-Table1[[#This Row],[Backers Count]]</f>
        <v>5</v>
      </c>
      <c r="CS1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1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12</v>
      </c>
      <c r="CV1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12</v>
      </c>
      <c r="CW1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1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11</v>
      </c>
      <c r="CY1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1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6"/>
      <c r="DE16"/>
      <c r="DG16"/>
      <c r="DI16"/>
      <c r="DK16"/>
      <c r="DM16"/>
      <c r="DO16"/>
      <c r="DQ16"/>
      <c r="DS16"/>
      <c r="DT16"/>
    </row>
    <row r="17" spans="1:124">
      <c r="A17" s="22" t="s">
        <v>96</v>
      </c>
      <c r="B17" s="14">
        <v>40962</v>
      </c>
      <c r="C17" s="23" t="s">
        <v>116</v>
      </c>
      <c r="D17" s="23" t="s">
        <v>117</v>
      </c>
      <c r="E17" s="24" t="s">
        <v>118</v>
      </c>
      <c r="F17" s="23" t="s">
        <v>87</v>
      </c>
      <c r="G17" s="23" t="s">
        <v>119</v>
      </c>
      <c r="H17" s="32" t="str">
        <f>RIGHT(Table1[[#This Row],[Location]],2)</f>
        <v>GA</v>
      </c>
      <c r="I17" s="25">
        <v>41296</v>
      </c>
      <c r="J17" s="25">
        <v>41326</v>
      </c>
      <c r="K17" s="37">
        <v>17935</v>
      </c>
      <c r="L17" s="37">
        <v>6500</v>
      </c>
      <c r="M17" s="40">
        <v>106</v>
      </c>
      <c r="N17" s="40">
        <v>2735</v>
      </c>
      <c r="O17" s="26">
        <v>5</v>
      </c>
      <c r="P17" s="26">
        <v>10</v>
      </c>
      <c r="Q17" s="26">
        <v>15</v>
      </c>
      <c r="R17" s="27">
        <v>25</v>
      </c>
      <c r="S17" s="37">
        <v>35</v>
      </c>
      <c r="T17" s="37">
        <v>45</v>
      </c>
      <c r="U17" s="37">
        <v>60</v>
      </c>
      <c r="V17" s="37">
        <v>80</v>
      </c>
      <c r="W17" s="37">
        <v>100</v>
      </c>
      <c r="X17" s="37">
        <v>125</v>
      </c>
      <c r="Y17" s="37">
        <v>175</v>
      </c>
      <c r="Z17" s="37">
        <v>250</v>
      </c>
      <c r="AA17" s="36">
        <v>325</v>
      </c>
      <c r="AB17" s="36">
        <v>350</v>
      </c>
      <c r="AC17" s="36">
        <v>400</v>
      </c>
      <c r="AD17" s="36">
        <v>425</v>
      </c>
      <c r="AE17" s="36">
        <v>475</v>
      </c>
      <c r="AF17" s="36">
        <v>500</v>
      </c>
      <c r="AG17" s="36">
        <v>800</v>
      </c>
      <c r="AH17" s="36">
        <v>1000</v>
      </c>
      <c r="AI17" s="36">
        <v>1200</v>
      </c>
      <c r="AJ17" s="36">
        <v>1500</v>
      </c>
      <c r="AK17" s="36">
        <v>1750</v>
      </c>
      <c r="AL17" s="36">
        <v>2500</v>
      </c>
      <c r="AM17" s="36">
        <v>3000</v>
      </c>
      <c r="AO17" s="36"/>
      <c r="AQ17" s="36"/>
      <c r="AS17" s="36"/>
      <c r="AU17" s="36"/>
      <c r="AW17" s="36"/>
      <c r="AY17" s="24">
        <v>0</v>
      </c>
      <c r="AZ17" s="24">
        <v>0</v>
      </c>
      <c r="BA17" s="24">
        <v>12</v>
      </c>
      <c r="BB17" s="28">
        <v>35</v>
      </c>
      <c r="BC17" s="23">
        <v>2</v>
      </c>
      <c r="BD17" s="23">
        <v>5</v>
      </c>
      <c r="BE17" s="23">
        <v>6</v>
      </c>
      <c r="BF17" s="23">
        <v>4</v>
      </c>
      <c r="BG17" s="23">
        <v>6</v>
      </c>
      <c r="BH17" s="23">
        <v>16</v>
      </c>
      <c r="BI17" s="23">
        <v>0</v>
      </c>
      <c r="BJ17" s="23">
        <v>2</v>
      </c>
      <c r="BK17">
        <v>1</v>
      </c>
      <c r="BL17">
        <v>1</v>
      </c>
      <c r="BM17">
        <v>0</v>
      </c>
      <c r="BN17">
        <v>0</v>
      </c>
      <c r="BO17">
        <v>2</v>
      </c>
      <c r="BP17">
        <v>1</v>
      </c>
      <c r="BQ17">
        <v>1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CI1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17">
        <f>COUNTA(Table1[[#This Row],[Reward Level 1]:[Reward Level 36]])</f>
        <v>25</v>
      </c>
      <c r="CK17">
        <f>COUNTIF(Table1[[#This Row],[Backers Level 1]:[Backers Level 36]],"&gt;0")</f>
        <v>14</v>
      </c>
      <c r="CL17" s="49">
        <f>Table1[[#This Row],[Pledge]]/Table1[[#This Row],[Backers]]</f>
        <v>169.19811320754718</v>
      </c>
      <c r="CM17" s="32" t="str">
        <f>IF(Table1[[#This Row],[Pledge]]=Table1[[#This Row],[Pledge Count]],"OK!","N!")</f>
        <v>N!</v>
      </c>
      <c r="CN1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5130</v>
      </c>
      <c r="CO17" s="53">
        <f>Table1[[#This Row],[Pledge]]-Table1[[#This Row],[Pledge Count]]</f>
        <v>12805</v>
      </c>
      <c r="CP17" s="32" t="str">
        <f>IF(Table1[[#This Row],[Backers]]=Table1[[#This Row],[Backers Count]],"OK!","N!")</f>
        <v>N!</v>
      </c>
      <c r="CQ17" s="32">
        <f>SUM(Table1[[#This Row],[Backers Level 1]:[Backers Level 36]])</f>
        <v>94</v>
      </c>
      <c r="CR17" s="32">
        <f>Table1[[#This Row],[Backers]]-Table1[[#This Row],[Backers Count]]</f>
        <v>12</v>
      </c>
      <c r="CS1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47</v>
      </c>
      <c r="CV1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7</v>
      </c>
      <c r="CW1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16</v>
      </c>
      <c r="CX1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18</v>
      </c>
      <c r="CY1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5</v>
      </c>
      <c r="CZ1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1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7"/>
      <c r="DE17"/>
      <c r="DG17"/>
      <c r="DI17"/>
      <c r="DK17"/>
      <c r="DM17"/>
      <c r="DO17"/>
      <c r="DQ17"/>
      <c r="DS17"/>
      <c r="DT17"/>
    </row>
    <row r="18" spans="1:124">
      <c r="A18" s="22" t="s">
        <v>97</v>
      </c>
      <c r="B18" s="14">
        <v>40962</v>
      </c>
      <c r="C18" s="23" t="s">
        <v>120</v>
      </c>
      <c r="D18" s="23" t="s">
        <v>121</v>
      </c>
      <c r="E18" s="24" t="s">
        <v>122</v>
      </c>
      <c r="F18" s="23" t="s">
        <v>11</v>
      </c>
      <c r="G18" s="23" t="s">
        <v>123</v>
      </c>
      <c r="H18" s="32" t="str">
        <f>RIGHT(Table1[[#This Row],[Location]],2)</f>
        <v>CA</v>
      </c>
      <c r="I18" s="25">
        <v>41296</v>
      </c>
      <c r="J18" s="25">
        <v>41326</v>
      </c>
      <c r="K18" s="37">
        <v>21090</v>
      </c>
      <c r="L18" s="37">
        <v>10000</v>
      </c>
      <c r="M18" s="40">
        <v>575</v>
      </c>
      <c r="N18" s="40">
        <v>924</v>
      </c>
      <c r="O18" s="26">
        <v>5</v>
      </c>
      <c r="P18" s="26">
        <v>15</v>
      </c>
      <c r="Q18" s="26">
        <v>20</v>
      </c>
      <c r="R18" s="27">
        <v>25</v>
      </c>
      <c r="S18" s="37">
        <v>30</v>
      </c>
      <c r="T18" s="37">
        <v>50</v>
      </c>
      <c r="U18" s="37">
        <v>75</v>
      </c>
      <c r="V18" s="37">
        <v>100</v>
      </c>
      <c r="W18" s="37">
        <v>100</v>
      </c>
      <c r="X18" s="37">
        <v>125</v>
      </c>
      <c r="Y18" s="37">
        <v>125</v>
      </c>
      <c r="Z18" s="37">
        <v>150</v>
      </c>
      <c r="AA18" s="36">
        <v>175</v>
      </c>
      <c r="AB18" s="36">
        <v>200</v>
      </c>
      <c r="AC18" s="36">
        <v>250</v>
      </c>
      <c r="AD18" s="36">
        <v>500</v>
      </c>
      <c r="AE18" s="36">
        <v>750</v>
      </c>
      <c r="AF18" s="36">
        <v>1000</v>
      </c>
      <c r="AG18" s="36">
        <v>2000</v>
      </c>
      <c r="AI18" s="36"/>
      <c r="AK18" s="36"/>
      <c r="AM18" s="36"/>
      <c r="AO18" s="36"/>
      <c r="AQ18" s="36"/>
      <c r="AS18" s="36"/>
      <c r="AU18" s="36"/>
      <c r="AW18" s="36"/>
      <c r="AY18" s="24">
        <v>6</v>
      </c>
      <c r="AZ18" s="24">
        <v>209</v>
      </c>
      <c r="BA18" s="24">
        <v>34</v>
      </c>
      <c r="BB18" s="28">
        <v>12</v>
      </c>
      <c r="BC18" s="23">
        <v>221</v>
      </c>
      <c r="BD18" s="23">
        <v>35</v>
      </c>
      <c r="BE18" s="23">
        <v>11</v>
      </c>
      <c r="BF18" s="23">
        <v>3</v>
      </c>
      <c r="BG18" s="23">
        <v>12</v>
      </c>
      <c r="BH18" s="23">
        <v>0</v>
      </c>
      <c r="BI18" s="23">
        <v>4</v>
      </c>
      <c r="BJ18" s="23">
        <v>2</v>
      </c>
      <c r="BK18">
        <v>0</v>
      </c>
      <c r="BL18">
        <v>7</v>
      </c>
      <c r="BM18">
        <v>1</v>
      </c>
      <c r="BN18">
        <v>5</v>
      </c>
      <c r="BO18">
        <v>0</v>
      </c>
      <c r="BP18">
        <v>0</v>
      </c>
      <c r="BQ18">
        <v>0</v>
      </c>
      <c r="CI1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D - $20,000 to $99,999 Raised</v>
      </c>
      <c r="CJ18">
        <f>COUNTA(Table1[[#This Row],[Reward Level 1]:[Reward Level 36]])</f>
        <v>19</v>
      </c>
      <c r="CK18">
        <f>COUNTIF(Table1[[#This Row],[Backers Level 1]:[Backers Level 36]],"&gt;0")</f>
        <v>14</v>
      </c>
      <c r="CL18" s="49">
        <f>Table1[[#This Row],[Pledge]]/Table1[[#This Row],[Backers]]</f>
        <v>36.678260869565214</v>
      </c>
      <c r="CM18" s="32" t="str">
        <f>IF(Table1[[#This Row],[Pledge]]=Table1[[#This Row],[Pledge Count]],"OK!","N!")</f>
        <v>N!</v>
      </c>
      <c r="CN1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15650</v>
      </c>
      <c r="CO18" s="53">
        <f>Table1[[#This Row],[Pledge]]-Table1[[#This Row],[Pledge Count]]</f>
        <v>5440</v>
      </c>
      <c r="CP18" s="32" t="str">
        <f>IF(Table1[[#This Row],[Backers]]=Table1[[#This Row],[Backers Count]],"OK!","N!")</f>
        <v>N!</v>
      </c>
      <c r="CQ18" s="32">
        <f>SUM(Table1[[#This Row],[Backers Level 1]:[Backers Level 36]])</f>
        <v>562</v>
      </c>
      <c r="CR18" s="32">
        <f>Table1[[#This Row],[Backers]]-Table1[[#This Row],[Backers Count]]</f>
        <v>13</v>
      </c>
      <c r="CS1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6</v>
      </c>
      <c r="CT1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255</v>
      </c>
      <c r="CV1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256</v>
      </c>
      <c r="CW1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26</v>
      </c>
      <c r="CX1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14</v>
      </c>
      <c r="CY1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5</v>
      </c>
      <c r="CZ1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8"/>
      <c r="DE18"/>
      <c r="DG18"/>
      <c r="DI18"/>
      <c r="DK18"/>
      <c r="DM18"/>
      <c r="DO18"/>
      <c r="DQ18"/>
      <c r="DS18"/>
      <c r="DT18"/>
    </row>
    <row r="19" spans="1:124">
      <c r="A19" s="22" t="s">
        <v>98</v>
      </c>
      <c r="B19" s="14">
        <v>40962</v>
      </c>
      <c r="C19" s="23" t="s">
        <v>124</v>
      </c>
      <c r="D19" s="23" t="s">
        <v>125</v>
      </c>
      <c r="E19" s="24" t="s">
        <v>126</v>
      </c>
      <c r="F19" s="23" t="s">
        <v>11</v>
      </c>
      <c r="G19" s="23" t="s">
        <v>83</v>
      </c>
      <c r="H19" s="32" t="str">
        <f>RIGHT(Table1[[#This Row],[Location]],2)</f>
        <v>TN</v>
      </c>
      <c r="I19" s="25">
        <v>41298</v>
      </c>
      <c r="J19" s="25">
        <v>41295</v>
      </c>
      <c r="K19" s="37">
        <v>6486</v>
      </c>
      <c r="L19" s="37">
        <v>6000</v>
      </c>
      <c r="M19" s="40">
        <v>106</v>
      </c>
      <c r="N19" s="40">
        <v>764</v>
      </c>
      <c r="O19" s="26">
        <v>10</v>
      </c>
      <c r="P19" s="26">
        <v>25</v>
      </c>
      <c r="Q19" s="26">
        <v>50</v>
      </c>
      <c r="R19" s="27">
        <v>100</v>
      </c>
      <c r="S19" s="37">
        <v>250</v>
      </c>
      <c r="T19" s="37">
        <v>500</v>
      </c>
      <c r="U19" s="37">
        <v>1000</v>
      </c>
      <c r="V19" s="37"/>
      <c r="W19" s="37"/>
      <c r="X19" s="37"/>
      <c r="Y19" s="37"/>
      <c r="Z19" s="37"/>
      <c r="AA19" s="36"/>
      <c r="AC19" s="36"/>
      <c r="AE19" s="36"/>
      <c r="AG19" s="36"/>
      <c r="AI19" s="36"/>
      <c r="AK19" s="36"/>
      <c r="AM19" s="36"/>
      <c r="AO19" s="36"/>
      <c r="AQ19" s="36"/>
      <c r="AS19" s="36"/>
      <c r="AU19" s="36"/>
      <c r="AW19" s="36"/>
      <c r="AY19" s="24">
        <v>20</v>
      </c>
      <c r="AZ19" s="24">
        <v>50</v>
      </c>
      <c r="BA19" s="24">
        <v>14</v>
      </c>
      <c r="BB19" s="28">
        <v>9</v>
      </c>
      <c r="BC19" s="23">
        <v>4</v>
      </c>
      <c r="BD19" s="23">
        <v>3</v>
      </c>
      <c r="BE19" s="23">
        <v>0</v>
      </c>
      <c r="BF19" s="23"/>
      <c r="BG19" s="23"/>
      <c r="BH19" s="23"/>
      <c r="BI19" s="23"/>
      <c r="BJ19" s="23"/>
      <c r="CI1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9">
        <f>COUNTA(Table1[[#This Row],[Reward Level 1]:[Reward Level 36]])</f>
        <v>7</v>
      </c>
      <c r="CK19">
        <f>COUNTIF(Table1[[#This Row],[Backers Level 1]:[Backers Level 36]],"&gt;0")</f>
        <v>6</v>
      </c>
      <c r="CL19" s="49">
        <f>Table1[[#This Row],[Pledge]]/Table1[[#This Row],[Backers]]</f>
        <v>61.188679245283019</v>
      </c>
      <c r="CM19" s="32" t="str">
        <f>IF(Table1[[#This Row],[Pledge]]=Table1[[#This Row],[Pledge Count]],"OK!","N!")</f>
        <v>N!</v>
      </c>
      <c r="CN1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5550</v>
      </c>
      <c r="CO19" s="53">
        <f>Table1[[#This Row],[Pledge]]-Table1[[#This Row],[Pledge Count]]</f>
        <v>936</v>
      </c>
      <c r="CP19" s="32" t="str">
        <f>IF(Table1[[#This Row],[Backers]]=Table1[[#This Row],[Backers Count]],"OK!","N!")</f>
        <v>N!</v>
      </c>
      <c r="CQ19" s="32">
        <f>SUM(Table1[[#This Row],[Backers Level 1]:[Backers Level 36]])</f>
        <v>100</v>
      </c>
      <c r="CR19" s="32">
        <f>Table1[[#This Row],[Backers]]-Table1[[#This Row],[Backers Count]]</f>
        <v>6</v>
      </c>
      <c r="CS1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20</v>
      </c>
      <c r="CU1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50</v>
      </c>
      <c r="CV1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14</v>
      </c>
      <c r="CW1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9</v>
      </c>
      <c r="CX1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1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3</v>
      </c>
      <c r="CZ1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1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9"/>
      <c r="DE19"/>
      <c r="DG19"/>
      <c r="DI19"/>
      <c r="DK19"/>
      <c r="DM19"/>
      <c r="DO19"/>
      <c r="DQ19"/>
      <c r="DS19"/>
      <c r="DT19"/>
    </row>
    <row r="20" spans="1:124">
      <c r="A20" s="22" t="s">
        <v>99</v>
      </c>
      <c r="B20" s="14">
        <v>40962</v>
      </c>
      <c r="C20" s="23" t="s">
        <v>138</v>
      </c>
      <c r="D20" s="23" t="s">
        <v>139</v>
      </c>
      <c r="E20" s="24" t="s">
        <v>140</v>
      </c>
      <c r="F20" s="23" t="s">
        <v>11</v>
      </c>
      <c r="G20" s="23" t="s">
        <v>141</v>
      </c>
      <c r="H20" s="32" t="str">
        <f>RIGHT(Table1[[#This Row],[Location]],2)</f>
        <v>VA</v>
      </c>
      <c r="I20" s="25">
        <v>41299</v>
      </c>
      <c r="J20" s="25">
        <v>41325</v>
      </c>
      <c r="K20" s="37">
        <v>11600</v>
      </c>
      <c r="L20" s="37">
        <v>8000</v>
      </c>
      <c r="M20" s="40">
        <v>141</v>
      </c>
      <c r="N20" s="40"/>
      <c r="O20" s="26">
        <v>1</v>
      </c>
      <c r="P20" s="26">
        <v>10</v>
      </c>
      <c r="Q20" s="26">
        <v>25</v>
      </c>
      <c r="R20" s="27">
        <v>50</v>
      </c>
      <c r="S20" s="37">
        <v>100</v>
      </c>
      <c r="T20" s="37">
        <v>250</v>
      </c>
      <c r="U20" s="37">
        <v>500</v>
      </c>
      <c r="V20" s="37">
        <v>1000</v>
      </c>
      <c r="W20" s="37">
        <v>2000</v>
      </c>
      <c r="X20" s="37">
        <v>5000</v>
      </c>
      <c r="Y20" s="37">
        <v>8000</v>
      </c>
      <c r="Z20" s="37"/>
      <c r="AA20" s="36"/>
      <c r="AC20" s="36"/>
      <c r="AE20" s="36"/>
      <c r="AG20" s="36"/>
      <c r="AI20" s="36"/>
      <c r="AK20" s="36"/>
      <c r="AM20" s="36"/>
      <c r="AO20" s="36"/>
      <c r="AQ20" s="36"/>
      <c r="AS20" s="36"/>
      <c r="AU20" s="36"/>
      <c r="AW20" s="36"/>
      <c r="AY20" s="24">
        <v>2</v>
      </c>
      <c r="AZ20" s="24">
        <v>33</v>
      </c>
      <c r="BA20" s="24">
        <v>46</v>
      </c>
      <c r="BB20" s="28">
        <v>23</v>
      </c>
      <c r="BC20" s="23">
        <v>20</v>
      </c>
      <c r="BD20" s="23">
        <v>2</v>
      </c>
      <c r="BE20" s="23">
        <v>1</v>
      </c>
      <c r="BF20" s="23">
        <v>0</v>
      </c>
      <c r="BG20" s="23">
        <v>0</v>
      </c>
      <c r="BH20" s="23">
        <v>1</v>
      </c>
      <c r="BI20" s="23">
        <v>0</v>
      </c>
      <c r="BJ20" s="23"/>
      <c r="CI2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20">
        <f>COUNTA(Table1[[#This Row],[Reward Level 1]:[Reward Level 36]])</f>
        <v>11</v>
      </c>
      <c r="CK20">
        <f>COUNTIF(Table1[[#This Row],[Backers Level 1]:[Backers Level 36]],"&gt;0")</f>
        <v>8</v>
      </c>
      <c r="CL20" s="49">
        <f>Table1[[#This Row],[Pledge]]/Table1[[#This Row],[Backers]]</f>
        <v>82.269503546099287</v>
      </c>
      <c r="CM20" s="32" t="str">
        <f>IF(Table1[[#This Row],[Pledge]]=Table1[[#This Row],[Pledge Count]],"OK!","N!")</f>
        <v>N!</v>
      </c>
      <c r="CN2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10632</v>
      </c>
      <c r="CO20" s="53">
        <f>Table1[[#This Row],[Pledge]]-Table1[[#This Row],[Pledge Count]]</f>
        <v>968</v>
      </c>
      <c r="CP20" s="32" t="str">
        <f>IF(Table1[[#This Row],[Backers]]=Table1[[#This Row],[Backers Count]],"OK!","N!")</f>
        <v>N!</v>
      </c>
      <c r="CQ20" s="32">
        <f>SUM(Table1[[#This Row],[Backers Level 1]:[Backers Level 36]])</f>
        <v>128</v>
      </c>
      <c r="CR20" s="32">
        <f>Table1[[#This Row],[Backers]]-Table1[[#This Row],[Backers Count]]</f>
        <v>13</v>
      </c>
      <c r="CS2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2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33</v>
      </c>
      <c r="CU2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46</v>
      </c>
      <c r="CV2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23</v>
      </c>
      <c r="CW2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20</v>
      </c>
      <c r="CX2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</v>
      </c>
      <c r="CY2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1</v>
      </c>
      <c r="DC20"/>
      <c r="DE20"/>
      <c r="DG20"/>
      <c r="DI20"/>
      <c r="DK20"/>
      <c r="DM20"/>
      <c r="DO20"/>
      <c r="DQ20"/>
      <c r="DS20"/>
      <c r="DT20"/>
    </row>
    <row r="21" spans="1:124">
      <c r="A21" s="22" t="s">
        <v>127</v>
      </c>
      <c r="B21" s="14">
        <v>40962</v>
      </c>
      <c r="C21" s="23" t="s">
        <v>142</v>
      </c>
      <c r="D21" s="23" t="s">
        <v>143</v>
      </c>
      <c r="E21" s="24" t="s">
        <v>144</v>
      </c>
      <c r="F21" s="23" t="s">
        <v>87</v>
      </c>
      <c r="G21" s="23" t="s">
        <v>145</v>
      </c>
      <c r="H21" s="32" t="str">
        <f>RIGHT(Table1[[#This Row],[Location]],2)</f>
        <v>WA</v>
      </c>
      <c r="I21" s="25">
        <v>41295</v>
      </c>
      <c r="J21" s="25">
        <v>41325</v>
      </c>
      <c r="K21" s="37">
        <v>3357</v>
      </c>
      <c r="L21" s="37">
        <v>2500</v>
      </c>
      <c r="M21" s="40">
        <v>115</v>
      </c>
      <c r="N21" s="40"/>
      <c r="O21" s="26">
        <v>5</v>
      </c>
      <c r="P21" s="26">
        <v>10</v>
      </c>
      <c r="Q21" s="26">
        <v>20</v>
      </c>
      <c r="R21" s="27">
        <v>50</v>
      </c>
      <c r="S21" s="37">
        <v>100</v>
      </c>
      <c r="T21" s="37">
        <v>250</v>
      </c>
      <c r="U21" s="37"/>
      <c r="V21" s="37"/>
      <c r="W21" s="37"/>
      <c r="X21" s="37"/>
      <c r="Y21" s="37"/>
      <c r="Z21" s="37"/>
      <c r="AA21" s="36"/>
      <c r="AC21" s="36"/>
      <c r="AE21" s="36"/>
      <c r="AG21" s="36"/>
      <c r="AI21" s="36"/>
      <c r="AK21" s="36"/>
      <c r="AM21" s="36"/>
      <c r="AO21" s="36"/>
      <c r="AQ21" s="36"/>
      <c r="AS21" s="36"/>
      <c r="AU21" s="36"/>
      <c r="AW21" s="36"/>
      <c r="AY21" s="24">
        <v>23</v>
      </c>
      <c r="AZ21" s="24">
        <v>27</v>
      </c>
      <c r="BA21" s="24">
        <v>34</v>
      </c>
      <c r="BB21" s="28">
        <v>15</v>
      </c>
      <c r="BC21" s="23">
        <v>9</v>
      </c>
      <c r="BD21" s="23">
        <v>1</v>
      </c>
      <c r="BE21" s="23"/>
      <c r="BF21" s="23"/>
      <c r="BG21" s="23"/>
      <c r="BH21" s="23"/>
      <c r="BI21" s="23"/>
      <c r="BJ21" s="23"/>
      <c r="CI2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1">
        <f>COUNTA(Table1[[#This Row],[Reward Level 1]:[Reward Level 36]])</f>
        <v>6</v>
      </c>
      <c r="CK21">
        <f>COUNTIF(Table1[[#This Row],[Backers Level 1]:[Backers Level 36]],"&gt;0")</f>
        <v>6</v>
      </c>
      <c r="CL21" s="49">
        <f>Table1[[#This Row],[Pledge]]/Table1[[#This Row],[Backers]]</f>
        <v>29.191304347826087</v>
      </c>
      <c r="CM21" s="32" t="str">
        <f>IF(Table1[[#This Row],[Pledge]]=Table1[[#This Row],[Pledge Count]],"OK!","N!")</f>
        <v>N!</v>
      </c>
      <c r="CN2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2965</v>
      </c>
      <c r="CO21" s="53">
        <f>Table1[[#This Row],[Pledge]]-Table1[[#This Row],[Pledge Count]]</f>
        <v>392</v>
      </c>
      <c r="CP21" s="32" t="str">
        <f>IF(Table1[[#This Row],[Backers]]=Table1[[#This Row],[Backers Count]],"OK!","N!")</f>
        <v>N!</v>
      </c>
      <c r="CQ21" s="32">
        <f>SUM(Table1[[#This Row],[Backers Level 1]:[Backers Level 36]])</f>
        <v>109</v>
      </c>
      <c r="CR21" s="32">
        <f>Table1[[#This Row],[Backers]]-Table1[[#This Row],[Backers Count]]</f>
        <v>6</v>
      </c>
      <c r="CS2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23</v>
      </c>
      <c r="CT2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27</v>
      </c>
      <c r="CU2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34</v>
      </c>
      <c r="CV2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15</v>
      </c>
      <c r="CW2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9</v>
      </c>
      <c r="CX2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2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2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1"/>
      <c r="DE21"/>
      <c r="DG21"/>
      <c r="DI21"/>
      <c r="DK21"/>
      <c r="DM21"/>
      <c r="DO21"/>
      <c r="DQ21"/>
      <c r="DS21"/>
      <c r="DT21"/>
    </row>
    <row r="22" spans="1:124">
      <c r="A22" s="22" t="s">
        <v>128</v>
      </c>
      <c r="B22" s="14">
        <v>41329</v>
      </c>
      <c r="C22" s="23" t="s">
        <v>146</v>
      </c>
      <c r="D22" s="23" t="s">
        <v>147</v>
      </c>
      <c r="E22" s="24" t="s">
        <v>148</v>
      </c>
      <c r="F22" s="23" t="s">
        <v>11</v>
      </c>
      <c r="G22" s="23" t="s">
        <v>149</v>
      </c>
      <c r="H22" s="32" t="str">
        <f>RIGHT(Table1[[#This Row],[Location]],2)</f>
        <v>NY</v>
      </c>
      <c r="I22" s="25">
        <v>41295</v>
      </c>
      <c r="J22" s="25">
        <v>41325</v>
      </c>
      <c r="K22" s="37">
        <v>3397</v>
      </c>
      <c r="L22" s="37">
        <v>3333</v>
      </c>
      <c r="M22" s="40">
        <v>102</v>
      </c>
      <c r="N22" s="40">
        <v>216</v>
      </c>
      <c r="O22" s="26">
        <v>1</v>
      </c>
      <c r="P22" s="26">
        <v>10</v>
      </c>
      <c r="Q22" s="26">
        <v>15</v>
      </c>
      <c r="R22" s="27">
        <v>20</v>
      </c>
      <c r="S22" s="37">
        <v>22</v>
      </c>
      <c r="T22" s="37">
        <v>25</v>
      </c>
      <c r="U22" s="37">
        <v>30</v>
      </c>
      <c r="V22" s="37">
        <v>35</v>
      </c>
      <c r="W22" s="37">
        <v>40</v>
      </c>
      <c r="X22" s="37">
        <v>50</v>
      </c>
      <c r="Y22" s="37">
        <v>75</v>
      </c>
      <c r="Z22" s="37">
        <v>100</v>
      </c>
      <c r="AA22" s="36">
        <v>250</v>
      </c>
      <c r="AB22" s="36">
        <v>500</v>
      </c>
      <c r="AC22" s="36"/>
      <c r="AE22" s="36"/>
      <c r="AG22" s="36"/>
      <c r="AI22" s="36"/>
      <c r="AK22" s="36"/>
      <c r="AM22" s="36"/>
      <c r="AO22" s="36"/>
      <c r="AQ22" s="36"/>
      <c r="AS22" s="36"/>
      <c r="AU22" s="36"/>
      <c r="AW22" s="36"/>
      <c r="AY22" s="24">
        <v>5</v>
      </c>
      <c r="AZ22" s="24">
        <v>12</v>
      </c>
      <c r="BA22" s="24">
        <v>10</v>
      </c>
      <c r="BB22" s="28">
        <v>32</v>
      </c>
      <c r="BC22" s="23">
        <v>6</v>
      </c>
      <c r="BD22" s="23">
        <v>4</v>
      </c>
      <c r="BE22" s="23">
        <v>3</v>
      </c>
      <c r="BF22" s="23">
        <v>4</v>
      </c>
      <c r="BG22" s="23">
        <v>5</v>
      </c>
      <c r="BH22" s="23">
        <v>2</v>
      </c>
      <c r="BI22" s="23">
        <v>5</v>
      </c>
      <c r="BJ22" s="23">
        <v>2</v>
      </c>
      <c r="BK22">
        <v>0</v>
      </c>
      <c r="BL22">
        <v>1</v>
      </c>
      <c r="CI2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2">
        <f>COUNTA(Table1[[#This Row],[Reward Level 1]:[Reward Level 36]])</f>
        <v>14</v>
      </c>
      <c r="CK22">
        <f>COUNTIF(Table1[[#This Row],[Backers Level 1]:[Backers Level 36]],"&gt;0")</f>
        <v>13</v>
      </c>
      <c r="CL22" s="49">
        <f>Table1[[#This Row],[Pledge]]/Table1[[#This Row],[Backers]]</f>
        <v>33.303921568627452</v>
      </c>
      <c r="CM22" s="32" t="str">
        <f>IF(Table1[[#This Row],[Pledge]]=Table1[[#This Row],[Pledge Count]],"OK!","N!")</f>
        <v>N!</v>
      </c>
      <c r="CN2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2252</v>
      </c>
      <c r="CO22" s="53">
        <f>Table1[[#This Row],[Pledge]]-Table1[[#This Row],[Pledge Count]]</f>
        <v>1145</v>
      </c>
      <c r="CP22" s="32" t="str">
        <f>IF(Table1[[#This Row],[Backers]]=Table1[[#This Row],[Backers Count]],"OK!","N!")</f>
        <v>N!</v>
      </c>
      <c r="CQ22" s="32">
        <f>SUM(Table1[[#This Row],[Backers Level 1]:[Backers Level 36]])</f>
        <v>91</v>
      </c>
      <c r="CR22" s="32">
        <f>Table1[[#This Row],[Backers]]-Table1[[#This Row],[Backers Count]]</f>
        <v>11</v>
      </c>
      <c r="CS2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2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12</v>
      </c>
      <c r="CU2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52</v>
      </c>
      <c r="CV2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14</v>
      </c>
      <c r="CW2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</v>
      </c>
      <c r="CX2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2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2"/>
      <c r="DE22"/>
      <c r="DG22"/>
      <c r="DI22"/>
      <c r="DK22"/>
      <c r="DM22"/>
      <c r="DO22"/>
      <c r="DQ22"/>
      <c r="DS22"/>
      <c r="DT22"/>
    </row>
    <row r="23" spans="1:124">
      <c r="A23" s="22" t="s">
        <v>129</v>
      </c>
      <c r="B23" s="14">
        <v>41329</v>
      </c>
      <c r="C23" s="23" t="s">
        <v>150</v>
      </c>
      <c r="D23" s="23" t="s">
        <v>151</v>
      </c>
      <c r="E23" s="24" t="s">
        <v>152</v>
      </c>
      <c r="F23" s="23" t="s">
        <v>11</v>
      </c>
      <c r="G23" s="23" t="s">
        <v>153</v>
      </c>
      <c r="H23" s="32" t="str">
        <f>RIGHT(Table1[[#This Row],[Location]],2)</f>
        <v>MI</v>
      </c>
      <c r="I23" s="25">
        <v>41311</v>
      </c>
      <c r="J23" s="25">
        <v>41325</v>
      </c>
      <c r="K23" s="37">
        <v>510</v>
      </c>
      <c r="L23" s="37">
        <v>500</v>
      </c>
      <c r="M23" s="40">
        <v>18</v>
      </c>
      <c r="N23" s="40"/>
      <c r="O23" s="26">
        <v>5</v>
      </c>
      <c r="P23" s="26">
        <v>10</v>
      </c>
      <c r="Q23" s="26">
        <v>10</v>
      </c>
      <c r="R23" s="27">
        <v>10</v>
      </c>
      <c r="S23" s="37">
        <v>20</v>
      </c>
      <c r="T23" s="37">
        <v>20</v>
      </c>
      <c r="U23" s="37">
        <v>25</v>
      </c>
      <c r="V23" s="37">
        <v>100</v>
      </c>
      <c r="W23" s="37">
        <v>100</v>
      </c>
      <c r="X23" s="37"/>
      <c r="Y23" s="37"/>
      <c r="Z23" s="37"/>
      <c r="AA23" s="36"/>
      <c r="AC23" s="36"/>
      <c r="AE23" s="36"/>
      <c r="AG23" s="36"/>
      <c r="AI23" s="36"/>
      <c r="AK23" s="36"/>
      <c r="AM23" s="36"/>
      <c r="AO23" s="36"/>
      <c r="AQ23" s="36"/>
      <c r="AS23" s="36"/>
      <c r="AU23" s="36"/>
      <c r="AW23" s="36"/>
      <c r="AY23" s="24">
        <v>2</v>
      </c>
      <c r="AZ23" s="24">
        <v>5</v>
      </c>
      <c r="BA23" s="24">
        <v>1</v>
      </c>
      <c r="BB23" s="28">
        <v>2</v>
      </c>
      <c r="BC23" s="23">
        <v>0</v>
      </c>
      <c r="BD23" s="23">
        <v>1</v>
      </c>
      <c r="BE23" s="23">
        <v>4</v>
      </c>
      <c r="BF23" s="23">
        <v>1</v>
      </c>
      <c r="BG23" s="23">
        <v>1</v>
      </c>
      <c r="BH23" s="23"/>
      <c r="BI23" s="23"/>
      <c r="BJ23" s="23"/>
      <c r="CI2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23">
        <f>COUNTA(Table1[[#This Row],[Reward Level 1]:[Reward Level 36]])</f>
        <v>9</v>
      </c>
      <c r="CK23">
        <f>COUNTIF(Table1[[#This Row],[Backers Level 1]:[Backers Level 36]],"&gt;0")</f>
        <v>8</v>
      </c>
      <c r="CL23" s="49">
        <f>Table1[[#This Row],[Pledge]]/Table1[[#This Row],[Backers]]</f>
        <v>28.333333333333332</v>
      </c>
      <c r="CM23" s="32" t="str">
        <f>IF(Table1[[#This Row],[Pledge]]=Table1[[#This Row],[Pledge Count]],"OK!","N!")</f>
        <v>N!</v>
      </c>
      <c r="CN2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410</v>
      </c>
      <c r="CO23" s="53">
        <f>Table1[[#This Row],[Pledge]]-Table1[[#This Row],[Pledge Count]]</f>
        <v>100</v>
      </c>
      <c r="CP23" s="32" t="str">
        <f>IF(Table1[[#This Row],[Backers]]=Table1[[#This Row],[Backers Count]],"OK!","N!")</f>
        <v>N!</v>
      </c>
      <c r="CQ23" s="32">
        <f>SUM(Table1[[#This Row],[Backers Level 1]:[Backers Level 36]])</f>
        <v>17</v>
      </c>
      <c r="CR23" s="32">
        <f>Table1[[#This Row],[Backers]]-Table1[[#This Row],[Backers Count]]</f>
        <v>1</v>
      </c>
      <c r="CS2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2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8</v>
      </c>
      <c r="CU2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</v>
      </c>
      <c r="CV2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2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2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2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2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3"/>
      <c r="DE23"/>
      <c r="DG23"/>
      <c r="DI23"/>
      <c r="DK23"/>
      <c r="DM23"/>
      <c r="DO23"/>
      <c r="DQ23"/>
      <c r="DS23"/>
      <c r="DT23"/>
    </row>
    <row r="24" spans="1:124">
      <c r="A24" s="22" t="s">
        <v>130</v>
      </c>
      <c r="B24" s="14">
        <v>41329</v>
      </c>
      <c r="C24" s="23" t="s">
        <v>154</v>
      </c>
      <c r="D24" s="23" t="s">
        <v>155</v>
      </c>
      <c r="E24" s="24" t="s">
        <v>156</v>
      </c>
      <c r="F24" s="23" t="s">
        <v>51</v>
      </c>
      <c r="G24" s="23" t="s">
        <v>83</v>
      </c>
      <c r="H24" s="32" t="str">
        <f>RIGHT(Table1[[#This Row],[Location]],2)</f>
        <v>TN</v>
      </c>
      <c r="I24" s="25">
        <v>41309</v>
      </c>
      <c r="J24" s="25">
        <v>41324</v>
      </c>
      <c r="K24" s="37">
        <v>1630</v>
      </c>
      <c r="L24" s="37">
        <v>1000</v>
      </c>
      <c r="M24" s="40">
        <v>19</v>
      </c>
      <c r="N24" s="40"/>
      <c r="O24" s="26">
        <v>1</v>
      </c>
      <c r="P24" s="26">
        <v>5</v>
      </c>
      <c r="Q24" s="26">
        <v>10</v>
      </c>
      <c r="R24" s="27">
        <v>20</v>
      </c>
      <c r="S24" s="37">
        <v>30</v>
      </c>
      <c r="T24" s="37">
        <v>40</v>
      </c>
      <c r="U24" s="37">
        <v>50</v>
      </c>
      <c r="V24" s="37">
        <v>60</v>
      </c>
      <c r="W24" s="37">
        <v>75</v>
      </c>
      <c r="X24" s="37">
        <v>100</v>
      </c>
      <c r="Y24" s="37">
        <v>250</v>
      </c>
      <c r="Z24" s="37">
        <v>500</v>
      </c>
      <c r="AA24" s="36">
        <v>1000</v>
      </c>
      <c r="AC24" s="36"/>
      <c r="AE24" s="36"/>
      <c r="AG24" s="36"/>
      <c r="AI24" s="36"/>
      <c r="AK24" s="36"/>
      <c r="AM24" s="36"/>
      <c r="AO24" s="36"/>
      <c r="AQ24" s="36"/>
      <c r="AS24" s="36"/>
      <c r="AU24" s="36"/>
      <c r="AW24" s="36"/>
      <c r="AY24" s="24">
        <v>1</v>
      </c>
      <c r="AZ24" s="24">
        <v>4</v>
      </c>
      <c r="BA24" s="24">
        <v>1</v>
      </c>
      <c r="BB24" s="28">
        <v>1</v>
      </c>
      <c r="BC24" s="23">
        <v>3</v>
      </c>
      <c r="BD24" s="23">
        <v>1</v>
      </c>
      <c r="BE24" s="23">
        <v>0</v>
      </c>
      <c r="BF24" s="23">
        <v>0</v>
      </c>
      <c r="BG24" s="23">
        <v>1</v>
      </c>
      <c r="BH24" s="23">
        <v>2</v>
      </c>
      <c r="BI24" s="23">
        <v>1</v>
      </c>
      <c r="BJ24" s="23">
        <v>1</v>
      </c>
      <c r="BK24">
        <v>0</v>
      </c>
      <c r="CI2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4">
        <f>COUNTA(Table1[[#This Row],[Reward Level 1]:[Reward Level 36]])</f>
        <v>13</v>
      </c>
      <c r="CK24">
        <f>COUNTIF(Table1[[#This Row],[Backers Level 1]:[Backers Level 36]],"&gt;0")</f>
        <v>10</v>
      </c>
      <c r="CL24" s="49">
        <f>Table1[[#This Row],[Pledge]]/Table1[[#This Row],[Backers]]</f>
        <v>85.78947368421052</v>
      </c>
      <c r="CM24" s="32" t="str">
        <f>IF(Table1[[#This Row],[Pledge]]=Table1[[#This Row],[Pledge Count]],"OK!","N!")</f>
        <v>N!</v>
      </c>
      <c r="CN2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1206</v>
      </c>
      <c r="CO24" s="53">
        <f>Table1[[#This Row],[Pledge]]-Table1[[#This Row],[Pledge Count]]</f>
        <v>424</v>
      </c>
      <c r="CP24" s="32" t="str">
        <f>IF(Table1[[#This Row],[Backers]]=Table1[[#This Row],[Backers Count]],"OK!","N!")</f>
        <v>N!</v>
      </c>
      <c r="CQ24" s="32">
        <f>SUM(Table1[[#This Row],[Backers Level 1]:[Backers Level 36]])</f>
        <v>16</v>
      </c>
      <c r="CR24" s="32">
        <f>Table1[[#This Row],[Backers]]-Table1[[#This Row],[Backers Count]]</f>
        <v>3</v>
      </c>
      <c r="CS2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2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2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</v>
      </c>
      <c r="CV2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2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2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2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4"/>
      <c r="DE24"/>
      <c r="DG24"/>
      <c r="DI24"/>
      <c r="DK24"/>
      <c r="DM24"/>
      <c r="DO24"/>
      <c r="DQ24"/>
      <c r="DS24"/>
      <c r="DT24"/>
    </row>
    <row r="25" spans="1:124">
      <c r="A25" s="22" t="s">
        <v>131</v>
      </c>
      <c r="B25" s="14">
        <v>41329</v>
      </c>
      <c r="C25" s="23" t="s">
        <v>157</v>
      </c>
      <c r="D25" s="23" t="s">
        <v>158</v>
      </c>
      <c r="E25" s="24" t="s">
        <v>159</v>
      </c>
      <c r="F25" s="23" t="s">
        <v>26</v>
      </c>
      <c r="G25" s="23" t="s">
        <v>160</v>
      </c>
      <c r="H25" s="32" t="str">
        <f>RIGHT(Table1[[#This Row],[Location]],2)</f>
        <v>OR</v>
      </c>
      <c r="I25" s="25">
        <v>41309</v>
      </c>
      <c r="J25" s="25">
        <v>41324</v>
      </c>
      <c r="K25" s="37">
        <v>2345</v>
      </c>
      <c r="L25" s="37">
        <v>2000</v>
      </c>
      <c r="M25" s="40">
        <v>33</v>
      </c>
      <c r="N25" s="40">
        <v>758</v>
      </c>
      <c r="O25" s="26">
        <v>10</v>
      </c>
      <c r="P25" s="26">
        <v>25</v>
      </c>
      <c r="Q25" s="26">
        <v>50</v>
      </c>
      <c r="R25" s="27">
        <v>100</v>
      </c>
      <c r="S25" s="37">
        <v>250</v>
      </c>
      <c r="T25" s="37">
        <v>500</v>
      </c>
      <c r="U25" s="37"/>
      <c r="V25" s="37"/>
      <c r="W25" s="37"/>
      <c r="X25" s="37"/>
      <c r="Y25" s="37"/>
      <c r="Z25" s="37"/>
      <c r="AA25" s="36"/>
      <c r="AC25" s="36"/>
      <c r="AE25" s="36"/>
      <c r="AG25" s="36"/>
      <c r="AI25" s="36"/>
      <c r="AK25" s="36"/>
      <c r="AM25" s="36"/>
      <c r="AO25" s="36"/>
      <c r="AQ25" s="36"/>
      <c r="AS25" s="36"/>
      <c r="AU25" s="36"/>
      <c r="AW25" s="36"/>
      <c r="AY25" s="24">
        <v>1</v>
      </c>
      <c r="AZ25" s="24">
        <v>7</v>
      </c>
      <c r="BA25" s="24">
        <v>15</v>
      </c>
      <c r="BB25" s="28">
        <v>4</v>
      </c>
      <c r="BC25" s="23">
        <v>1</v>
      </c>
      <c r="BD25" s="23">
        <v>1</v>
      </c>
      <c r="BE25" s="23"/>
      <c r="BF25" s="23"/>
      <c r="BG25" s="23"/>
      <c r="BH25" s="23"/>
      <c r="BI25" s="23"/>
      <c r="BJ25" s="23"/>
      <c r="CI2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5">
        <f>COUNTA(Table1[[#This Row],[Reward Level 1]:[Reward Level 36]])</f>
        <v>6</v>
      </c>
      <c r="CK25">
        <f>COUNTIF(Table1[[#This Row],[Backers Level 1]:[Backers Level 36]],"&gt;0")</f>
        <v>6</v>
      </c>
      <c r="CL25" s="49">
        <f>Table1[[#This Row],[Pledge]]/Table1[[#This Row],[Backers]]</f>
        <v>71.060606060606062</v>
      </c>
      <c r="CM25" s="32" t="str">
        <f>IF(Table1[[#This Row],[Pledge]]=Table1[[#This Row],[Pledge Count]],"OK!","N!")</f>
        <v>N!</v>
      </c>
      <c r="CN2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2085</v>
      </c>
      <c r="CO25" s="53">
        <f>Table1[[#This Row],[Pledge]]-Table1[[#This Row],[Pledge Count]]</f>
        <v>260</v>
      </c>
      <c r="CP25" s="32" t="str">
        <f>IF(Table1[[#This Row],[Backers]]=Table1[[#This Row],[Backers Count]],"OK!","N!")</f>
        <v>N!</v>
      </c>
      <c r="CQ25" s="32">
        <f>SUM(Table1[[#This Row],[Backers Level 1]:[Backers Level 36]])</f>
        <v>29</v>
      </c>
      <c r="CR25" s="32">
        <f>Table1[[#This Row],[Backers]]-Table1[[#This Row],[Backers Count]]</f>
        <v>4</v>
      </c>
      <c r="CS2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2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2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2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15</v>
      </c>
      <c r="CW2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</v>
      </c>
      <c r="CX2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2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5"/>
      <c r="DE25"/>
      <c r="DG25"/>
      <c r="DI25"/>
      <c r="DK25"/>
      <c r="DM25"/>
      <c r="DO25"/>
      <c r="DQ25"/>
      <c r="DS25"/>
      <c r="DT25"/>
    </row>
    <row r="26" spans="1:124">
      <c r="A26" s="22" t="s">
        <v>132</v>
      </c>
      <c r="B26" s="14">
        <v>41329</v>
      </c>
      <c r="C26" s="23" t="s">
        <v>161</v>
      </c>
      <c r="D26" s="23" t="s">
        <v>162</v>
      </c>
      <c r="E26" s="24" t="s">
        <v>163</v>
      </c>
      <c r="F26" s="23" t="s">
        <v>26</v>
      </c>
      <c r="G26" s="23" t="s">
        <v>164</v>
      </c>
      <c r="H26" s="32" t="str">
        <f>RIGHT(Table1[[#This Row],[Location]],2)</f>
        <v>TN</v>
      </c>
      <c r="I26" s="25">
        <v>41299</v>
      </c>
      <c r="J26" s="25">
        <v>41324</v>
      </c>
      <c r="K26" s="37">
        <v>4160</v>
      </c>
      <c r="L26" s="37">
        <v>4000</v>
      </c>
      <c r="M26" s="40">
        <v>40</v>
      </c>
      <c r="N26" s="40"/>
      <c r="O26" s="26">
        <v>1</v>
      </c>
      <c r="P26" s="26">
        <v>25</v>
      </c>
      <c r="Q26" s="26">
        <v>50</v>
      </c>
      <c r="R26" s="27">
        <v>100</v>
      </c>
      <c r="S26" s="37">
        <v>150</v>
      </c>
      <c r="T26" s="37">
        <v>250</v>
      </c>
      <c r="U26" s="37">
        <v>400</v>
      </c>
      <c r="V26" s="37"/>
      <c r="W26" s="37"/>
      <c r="X26" s="37"/>
      <c r="Y26" s="37"/>
      <c r="Z26" s="37"/>
      <c r="AA26" s="36"/>
      <c r="AC26" s="36"/>
      <c r="AE26" s="36"/>
      <c r="AG26" s="36"/>
      <c r="AI26" s="36"/>
      <c r="AK26" s="36"/>
      <c r="AM26" s="36"/>
      <c r="AO26" s="36"/>
      <c r="AQ26" s="36"/>
      <c r="AS26" s="36"/>
      <c r="AU26" s="36"/>
      <c r="AW26" s="36"/>
      <c r="AY26" s="24">
        <v>6</v>
      </c>
      <c r="AZ26" s="24">
        <v>9</v>
      </c>
      <c r="BA26" s="24">
        <v>8</v>
      </c>
      <c r="BB26" s="28">
        <v>8</v>
      </c>
      <c r="BC26" s="23">
        <v>4</v>
      </c>
      <c r="BD26" s="23">
        <v>0</v>
      </c>
      <c r="BE26" s="23">
        <v>1</v>
      </c>
      <c r="BF26" s="23"/>
      <c r="BG26" s="23"/>
      <c r="BH26" s="23"/>
      <c r="BI26" s="23"/>
      <c r="BJ26" s="23"/>
      <c r="CI2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6">
        <f>COUNTA(Table1[[#This Row],[Reward Level 1]:[Reward Level 36]])</f>
        <v>7</v>
      </c>
      <c r="CK26">
        <f>COUNTIF(Table1[[#This Row],[Backers Level 1]:[Backers Level 36]],"&gt;0")</f>
        <v>6</v>
      </c>
      <c r="CL26" s="49">
        <f>Table1[[#This Row],[Pledge]]/Table1[[#This Row],[Backers]]</f>
        <v>104</v>
      </c>
      <c r="CM26" s="32" t="str">
        <f>IF(Table1[[#This Row],[Pledge]]=Table1[[#This Row],[Pledge Count]],"OK!","N!")</f>
        <v>N!</v>
      </c>
      <c r="CN2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2431</v>
      </c>
      <c r="CO26" s="53">
        <f>Table1[[#This Row],[Pledge]]-Table1[[#This Row],[Pledge Count]]</f>
        <v>1729</v>
      </c>
      <c r="CP26" s="32" t="str">
        <f>IF(Table1[[#This Row],[Backers]]=Table1[[#This Row],[Backers Count]],"OK!","N!")</f>
        <v>N!</v>
      </c>
      <c r="CQ26" s="32">
        <f>SUM(Table1[[#This Row],[Backers Level 1]:[Backers Level 36]])</f>
        <v>36</v>
      </c>
      <c r="CR26" s="32">
        <f>Table1[[#This Row],[Backers]]-Table1[[#This Row],[Backers Count]]</f>
        <v>4</v>
      </c>
      <c r="CS2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6</v>
      </c>
      <c r="CT2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2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9</v>
      </c>
      <c r="CV2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2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2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2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6"/>
      <c r="DE26"/>
      <c r="DG26"/>
      <c r="DI26"/>
      <c r="DK26"/>
      <c r="DM26"/>
      <c r="DO26"/>
      <c r="DQ26"/>
      <c r="DS26"/>
      <c r="DT26"/>
    </row>
    <row r="27" spans="1:124">
      <c r="A27" s="22" t="s">
        <v>133</v>
      </c>
      <c r="B27" s="14">
        <v>41330</v>
      </c>
      <c r="C27" s="23" t="s">
        <v>165</v>
      </c>
      <c r="D27" s="23" t="s">
        <v>166</v>
      </c>
      <c r="E27" s="24" t="s">
        <v>167</v>
      </c>
      <c r="F27" s="23" t="s">
        <v>11</v>
      </c>
      <c r="G27" s="23" t="s">
        <v>168</v>
      </c>
      <c r="H27" s="32" t="str">
        <f>RIGHT(Table1[[#This Row],[Location]],2)</f>
        <v>NJ</v>
      </c>
      <c r="I27" s="25">
        <v>41264</v>
      </c>
      <c r="J27" s="25">
        <v>41324</v>
      </c>
      <c r="K27" s="37">
        <v>3467</v>
      </c>
      <c r="L27" s="37">
        <v>3000</v>
      </c>
      <c r="M27" s="40">
        <v>56</v>
      </c>
      <c r="N27" s="40"/>
      <c r="O27" s="26">
        <v>1</v>
      </c>
      <c r="P27" s="26">
        <v>5</v>
      </c>
      <c r="Q27" s="26">
        <v>10</v>
      </c>
      <c r="R27" s="27">
        <v>20</v>
      </c>
      <c r="S27" s="37">
        <v>50</v>
      </c>
      <c r="T27" s="37">
        <v>75</v>
      </c>
      <c r="U27" s="37">
        <v>100</v>
      </c>
      <c r="V27" s="37">
        <v>150</v>
      </c>
      <c r="W27" s="37">
        <v>200</v>
      </c>
      <c r="X27" s="37"/>
      <c r="Y27" s="37"/>
      <c r="Z27" s="37"/>
      <c r="AA27" s="36"/>
      <c r="AC27" s="36"/>
      <c r="AE27" s="36"/>
      <c r="AG27" s="36"/>
      <c r="AI27" s="36"/>
      <c r="AK27" s="36"/>
      <c r="AM27" s="36"/>
      <c r="AO27" s="36"/>
      <c r="AQ27" s="36"/>
      <c r="AS27" s="36"/>
      <c r="AU27" s="36"/>
      <c r="AW27" s="36"/>
      <c r="AY27" s="24">
        <v>1</v>
      </c>
      <c r="AZ27" s="24">
        <v>4</v>
      </c>
      <c r="BA27" s="24">
        <v>4</v>
      </c>
      <c r="BB27" s="28">
        <v>13</v>
      </c>
      <c r="BC27" s="23">
        <v>9</v>
      </c>
      <c r="BD27" s="23">
        <v>0</v>
      </c>
      <c r="BE27" s="23">
        <v>5</v>
      </c>
      <c r="BF27" s="23">
        <v>0</v>
      </c>
      <c r="BG27" s="23">
        <v>5</v>
      </c>
      <c r="BH27" s="23"/>
      <c r="BI27" s="23"/>
      <c r="BJ27" s="23"/>
      <c r="CI2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7">
        <f>COUNTA(Table1[[#This Row],[Reward Level 1]:[Reward Level 36]])</f>
        <v>9</v>
      </c>
      <c r="CK27">
        <f>COUNTIF(Table1[[#This Row],[Backers Level 1]:[Backers Level 36]],"&gt;0")</f>
        <v>7</v>
      </c>
      <c r="CL27" s="49">
        <f>Table1[[#This Row],[Pledge]]/Table1[[#This Row],[Backers]]</f>
        <v>61.910714285714285</v>
      </c>
      <c r="CM27" s="32" t="str">
        <f>IF(Table1[[#This Row],[Pledge]]=Table1[[#This Row],[Pledge Count]],"OK!","N!")</f>
        <v>N!</v>
      </c>
      <c r="CN2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2271</v>
      </c>
      <c r="CO27" s="53">
        <f>Table1[[#This Row],[Pledge]]-Table1[[#This Row],[Pledge Count]]</f>
        <v>1196</v>
      </c>
      <c r="CP27" s="32" t="str">
        <f>IF(Table1[[#This Row],[Backers]]=Table1[[#This Row],[Backers Count]],"OK!","N!")</f>
        <v>N!</v>
      </c>
      <c r="CQ27" s="32">
        <f>SUM(Table1[[#This Row],[Backers Level 1]:[Backers Level 36]])</f>
        <v>41</v>
      </c>
      <c r="CR27" s="32">
        <f>Table1[[#This Row],[Backers]]-Table1[[#This Row],[Backers Count]]</f>
        <v>15</v>
      </c>
      <c r="CS2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2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2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13</v>
      </c>
      <c r="CV2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2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2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5</v>
      </c>
      <c r="CY2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2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7"/>
      <c r="DE27"/>
      <c r="DG27"/>
      <c r="DI27"/>
      <c r="DK27"/>
      <c r="DM27"/>
      <c r="DO27"/>
      <c r="DQ27"/>
      <c r="DS27"/>
      <c r="DT27"/>
    </row>
    <row r="28" spans="1:124">
      <c r="A28" s="22" t="s">
        <v>134</v>
      </c>
      <c r="B28" s="14">
        <v>41330</v>
      </c>
      <c r="C28" s="23" t="s">
        <v>169</v>
      </c>
      <c r="D28" s="23" t="s">
        <v>170</v>
      </c>
      <c r="E28" s="24" t="s">
        <v>171</v>
      </c>
      <c r="F28" s="23" t="s">
        <v>65</v>
      </c>
      <c r="G28" s="23" t="s">
        <v>172</v>
      </c>
      <c r="H28" s="32" t="str">
        <f>RIGHT(Table1[[#This Row],[Location]],2)</f>
        <v>MN</v>
      </c>
      <c r="I28" s="25">
        <v>41294</v>
      </c>
      <c r="J28" s="25">
        <v>41324</v>
      </c>
      <c r="K28" s="37">
        <v>6489</v>
      </c>
      <c r="L28" s="37">
        <v>5000</v>
      </c>
      <c r="M28" s="40">
        <v>70</v>
      </c>
      <c r="N28" s="40">
        <v>576</v>
      </c>
      <c r="O28" s="26">
        <v>2</v>
      </c>
      <c r="P28" s="26">
        <v>10</v>
      </c>
      <c r="Q28" s="26">
        <v>20</v>
      </c>
      <c r="R28" s="27">
        <v>20</v>
      </c>
      <c r="S28" s="37">
        <v>40</v>
      </c>
      <c r="T28" s="37">
        <v>50</v>
      </c>
      <c r="U28" s="37">
        <v>70</v>
      </c>
      <c r="V28" s="37">
        <v>100</v>
      </c>
      <c r="W28" s="37">
        <v>125</v>
      </c>
      <c r="X28" s="37">
        <v>500</v>
      </c>
      <c r="Y28" s="37">
        <v>1000</v>
      </c>
      <c r="Z28" s="37"/>
      <c r="AA28" s="36"/>
      <c r="AC28" s="36"/>
      <c r="AE28" s="36"/>
      <c r="AG28" s="36"/>
      <c r="AI28" s="36"/>
      <c r="AK28" s="36"/>
      <c r="AM28" s="36"/>
      <c r="AO28" s="36"/>
      <c r="AQ28" s="36"/>
      <c r="AS28" s="36"/>
      <c r="AU28" s="36"/>
      <c r="AW28" s="36"/>
      <c r="AY28" s="24">
        <v>1</v>
      </c>
      <c r="AZ28" s="24">
        <v>9</v>
      </c>
      <c r="BA28" s="24">
        <v>8</v>
      </c>
      <c r="BB28" s="28">
        <v>18</v>
      </c>
      <c r="BC28" s="23">
        <v>13</v>
      </c>
      <c r="BD28" s="23">
        <v>5</v>
      </c>
      <c r="BE28" s="23">
        <v>3</v>
      </c>
      <c r="BF28" s="23">
        <v>2</v>
      </c>
      <c r="BG28" s="23">
        <v>5</v>
      </c>
      <c r="BH28" s="23">
        <v>1</v>
      </c>
      <c r="BI28" s="23">
        <v>3</v>
      </c>
      <c r="BJ28" s="23"/>
      <c r="CI2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8">
        <f>COUNTA(Table1[[#This Row],[Reward Level 1]:[Reward Level 36]])</f>
        <v>11</v>
      </c>
      <c r="CK28">
        <f>COUNTIF(Table1[[#This Row],[Backers Level 1]:[Backers Level 36]],"&gt;0")</f>
        <v>11</v>
      </c>
      <c r="CL28" s="49">
        <f>Table1[[#This Row],[Pledge]]/Table1[[#This Row],[Backers]]</f>
        <v>92.7</v>
      </c>
      <c r="CM28" s="32" t="str">
        <f>IF(Table1[[#This Row],[Pledge]]=Table1[[#This Row],[Pledge Count]],"OK!","N!")</f>
        <v>N!</v>
      </c>
      <c r="CN2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5917</v>
      </c>
      <c r="CO28" s="53">
        <f>Table1[[#This Row],[Pledge]]-Table1[[#This Row],[Pledge Count]]</f>
        <v>572</v>
      </c>
      <c r="CP28" s="32" t="str">
        <f>IF(Table1[[#This Row],[Backers]]=Table1[[#This Row],[Backers Count]],"OK!","N!")</f>
        <v>N!</v>
      </c>
      <c r="CQ28" s="32">
        <f>SUM(Table1[[#This Row],[Backers Level 1]:[Backers Level 36]])</f>
        <v>68</v>
      </c>
      <c r="CR28" s="32">
        <f>Table1[[#This Row],[Backers]]-Table1[[#This Row],[Backers Count]]</f>
        <v>2</v>
      </c>
      <c r="CS2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2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9</v>
      </c>
      <c r="CU2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26</v>
      </c>
      <c r="CV2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18</v>
      </c>
      <c r="CW2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2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5</v>
      </c>
      <c r="CY2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2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3</v>
      </c>
      <c r="DA2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8"/>
      <c r="DE28"/>
      <c r="DG28"/>
      <c r="DI28"/>
      <c r="DK28"/>
      <c r="DM28"/>
      <c r="DO28"/>
      <c r="DQ28"/>
      <c r="DS28"/>
      <c r="DT28"/>
    </row>
    <row r="29" spans="1:124">
      <c r="A29" s="22" t="s">
        <v>135</v>
      </c>
      <c r="B29" s="14">
        <v>41332</v>
      </c>
      <c r="C29" s="23" t="s">
        <v>183</v>
      </c>
      <c r="D29" s="23" t="s">
        <v>184</v>
      </c>
      <c r="E29" s="24" t="s">
        <v>185</v>
      </c>
      <c r="F29" s="23" t="s">
        <v>11</v>
      </c>
      <c r="G29" s="23" t="s">
        <v>186</v>
      </c>
      <c r="H29" s="32" t="str">
        <f>RIGHT(Table1[[#This Row],[Location]],2)</f>
        <v>MI</v>
      </c>
      <c r="I29" s="25">
        <v>41294</v>
      </c>
      <c r="J29" s="25">
        <v>41324</v>
      </c>
      <c r="K29" s="37">
        <v>8761</v>
      </c>
      <c r="L29" s="37">
        <v>8000</v>
      </c>
      <c r="M29" s="40">
        <v>138</v>
      </c>
      <c r="N29" s="40"/>
      <c r="O29" s="26">
        <v>10</v>
      </c>
      <c r="P29" s="26">
        <v>25</v>
      </c>
      <c r="Q29" s="26">
        <v>35</v>
      </c>
      <c r="R29" s="27">
        <v>50</v>
      </c>
      <c r="S29" s="37">
        <v>75</v>
      </c>
      <c r="T29" s="37">
        <v>150</v>
      </c>
      <c r="U29" s="37">
        <v>200</v>
      </c>
      <c r="V29" s="37">
        <v>300</v>
      </c>
      <c r="W29" s="37">
        <v>600</v>
      </c>
      <c r="X29" s="37"/>
      <c r="Y29" s="37"/>
      <c r="Z29" s="37"/>
      <c r="AA29" s="36"/>
      <c r="AC29" s="36"/>
      <c r="AE29" s="36"/>
      <c r="AG29" s="36"/>
      <c r="AI29" s="36"/>
      <c r="AK29" s="36"/>
      <c r="AM29" s="36"/>
      <c r="AO29" s="36"/>
      <c r="AQ29" s="36"/>
      <c r="AS29" s="36"/>
      <c r="AU29" s="36"/>
      <c r="AW29" s="36"/>
      <c r="AY29" s="24">
        <v>36</v>
      </c>
      <c r="AZ29" s="24">
        <v>46</v>
      </c>
      <c r="BA29" s="24">
        <v>9</v>
      </c>
      <c r="BB29" s="28">
        <v>5</v>
      </c>
      <c r="BC29" s="23">
        <v>19</v>
      </c>
      <c r="BD29" s="23">
        <v>5</v>
      </c>
      <c r="BE29" s="23">
        <v>3</v>
      </c>
      <c r="BF29" s="23">
        <v>2</v>
      </c>
      <c r="BG29" s="23">
        <v>0</v>
      </c>
      <c r="BH29" s="23"/>
      <c r="BI29" s="23"/>
      <c r="BJ29" s="23"/>
      <c r="CI2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29">
        <f>COUNTA(Table1[[#This Row],[Reward Level 1]:[Reward Level 36]])</f>
        <v>9</v>
      </c>
      <c r="CK29">
        <f>COUNTIF(Table1[[#This Row],[Backers Level 1]:[Backers Level 36]],"&gt;0")</f>
        <v>8</v>
      </c>
      <c r="CL29" s="49">
        <f>Table1[[#This Row],[Pledge]]/Table1[[#This Row],[Backers]]</f>
        <v>63.485507246376812</v>
      </c>
      <c r="CM29" s="32" t="str">
        <f>IF(Table1[[#This Row],[Pledge]]=Table1[[#This Row],[Pledge Count]],"OK!","N!")</f>
        <v>N!</v>
      </c>
      <c r="CN2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5450</v>
      </c>
      <c r="CO29" s="53">
        <f>Table1[[#This Row],[Pledge]]-Table1[[#This Row],[Pledge Count]]</f>
        <v>3311</v>
      </c>
      <c r="CP29" s="32" t="str">
        <f>IF(Table1[[#This Row],[Backers]]=Table1[[#This Row],[Backers Count]],"OK!","N!")</f>
        <v>N!</v>
      </c>
      <c r="CQ29" s="32">
        <f>SUM(Table1[[#This Row],[Backers Level 1]:[Backers Level 36]])</f>
        <v>125</v>
      </c>
      <c r="CR29" s="32">
        <f>Table1[[#This Row],[Backers]]-Table1[[#This Row],[Backers Count]]</f>
        <v>13</v>
      </c>
      <c r="CS2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2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36</v>
      </c>
      <c r="CU2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46</v>
      </c>
      <c r="CV2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14</v>
      </c>
      <c r="CW2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19</v>
      </c>
      <c r="CX2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8</v>
      </c>
      <c r="CY2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2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2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2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29"/>
      <c r="DE29"/>
      <c r="DG29"/>
      <c r="DI29"/>
      <c r="DK29"/>
      <c r="DM29"/>
      <c r="DO29"/>
      <c r="DQ29"/>
      <c r="DS29"/>
      <c r="DT29"/>
    </row>
    <row r="30" spans="1:124">
      <c r="A30" s="22" t="s">
        <v>136</v>
      </c>
      <c r="B30" s="14">
        <v>41332</v>
      </c>
      <c r="C30" s="23" t="s">
        <v>187</v>
      </c>
      <c r="D30" s="23" t="s">
        <v>188</v>
      </c>
      <c r="E30" s="24" t="s">
        <v>189</v>
      </c>
      <c r="F30" s="23" t="s">
        <v>190</v>
      </c>
      <c r="G30" s="23" t="s">
        <v>191</v>
      </c>
      <c r="H30" s="32" t="str">
        <f>RIGHT(Table1[[#This Row],[Location]],2)</f>
        <v>DC</v>
      </c>
      <c r="I30" s="25">
        <v>41264</v>
      </c>
      <c r="J30" s="25">
        <v>41324</v>
      </c>
      <c r="K30" s="37">
        <v>5578</v>
      </c>
      <c r="L30" s="37">
        <v>4600</v>
      </c>
      <c r="M30" s="40">
        <v>85</v>
      </c>
      <c r="N30" s="40">
        <v>2149</v>
      </c>
      <c r="O30" s="26">
        <v>10</v>
      </c>
      <c r="P30" s="26">
        <v>25</v>
      </c>
      <c r="Q30" s="26">
        <v>50</v>
      </c>
      <c r="R30" s="27">
        <v>75</v>
      </c>
      <c r="S30" s="37">
        <v>100</v>
      </c>
      <c r="T30" s="37">
        <v>200</v>
      </c>
      <c r="U30" s="37">
        <v>300</v>
      </c>
      <c r="V30" s="37">
        <v>500</v>
      </c>
      <c r="W30" s="37">
        <v>700</v>
      </c>
      <c r="X30" s="37">
        <v>1200</v>
      </c>
      <c r="Y30" s="37"/>
      <c r="Z30" s="37"/>
      <c r="AA30" s="36"/>
      <c r="AC30" s="36"/>
      <c r="AE30" s="36"/>
      <c r="AG30" s="36"/>
      <c r="AI30" s="36"/>
      <c r="AK30" s="36"/>
      <c r="AM30" s="36"/>
      <c r="AO30" s="36"/>
      <c r="AQ30" s="36"/>
      <c r="AS30" s="36"/>
      <c r="AU30" s="36"/>
      <c r="AW30" s="36"/>
      <c r="AY30" s="24">
        <v>24</v>
      </c>
      <c r="AZ30" s="24">
        <v>18</v>
      </c>
      <c r="BA30" s="24">
        <v>12</v>
      </c>
      <c r="BB30" s="28">
        <v>3</v>
      </c>
      <c r="BC30" s="23">
        <v>9</v>
      </c>
      <c r="BD30" s="23">
        <v>0</v>
      </c>
      <c r="BE30" s="23">
        <v>2</v>
      </c>
      <c r="BF30" s="23">
        <v>1</v>
      </c>
      <c r="BG30" s="23">
        <v>1</v>
      </c>
      <c r="BH30" s="23">
        <v>0</v>
      </c>
      <c r="BI30" s="23"/>
      <c r="BJ30" s="23"/>
      <c r="CI3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0">
        <f>COUNTA(Table1[[#This Row],[Reward Level 1]:[Reward Level 36]])</f>
        <v>10</v>
      </c>
      <c r="CK30">
        <f>COUNTIF(Table1[[#This Row],[Backers Level 1]:[Backers Level 36]],"&gt;0")</f>
        <v>8</v>
      </c>
      <c r="CL30" s="49">
        <f>Table1[[#This Row],[Pledge]]/Table1[[#This Row],[Backers]]</f>
        <v>65.623529411764707</v>
      </c>
      <c r="CM30" s="32" t="str">
        <f>IF(Table1[[#This Row],[Pledge]]=Table1[[#This Row],[Pledge Count]],"OK!","N!")</f>
        <v>N!</v>
      </c>
      <c r="CN3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4215</v>
      </c>
      <c r="CO30" s="53">
        <f>Table1[[#This Row],[Pledge]]-Table1[[#This Row],[Pledge Count]]</f>
        <v>1363</v>
      </c>
      <c r="CP30" s="32" t="str">
        <f>IF(Table1[[#This Row],[Backers]]=Table1[[#This Row],[Backers Count]],"OK!","N!")</f>
        <v>N!</v>
      </c>
      <c r="CQ30" s="32">
        <f>SUM(Table1[[#This Row],[Backers Level 1]:[Backers Level 36]])</f>
        <v>70</v>
      </c>
      <c r="CR30" s="32">
        <f>Table1[[#This Row],[Backers]]-Table1[[#This Row],[Backers Count]]</f>
        <v>15</v>
      </c>
      <c r="CS3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3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24</v>
      </c>
      <c r="CU3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18</v>
      </c>
      <c r="CV3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12</v>
      </c>
      <c r="CW3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12</v>
      </c>
      <c r="CX3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3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3</v>
      </c>
      <c r="CZ3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3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0"/>
      <c r="DE30"/>
      <c r="DG30"/>
      <c r="DI30"/>
      <c r="DK30"/>
      <c r="DM30"/>
      <c r="DO30"/>
      <c r="DQ30"/>
      <c r="DS30"/>
      <c r="DT30"/>
    </row>
    <row r="31" spans="1:124">
      <c r="A31" s="22" t="s">
        <v>137</v>
      </c>
      <c r="B31" s="14">
        <v>41332</v>
      </c>
      <c r="C31" s="23" t="s">
        <v>192</v>
      </c>
      <c r="D31" s="23" t="s">
        <v>193</v>
      </c>
      <c r="E31" s="24" t="s">
        <v>194</v>
      </c>
      <c r="F31" s="23" t="s">
        <v>51</v>
      </c>
      <c r="G31" s="23" t="s">
        <v>196</v>
      </c>
      <c r="H31" s="32" t="str">
        <f>RIGHT(Table1[[#This Row],[Location]],2)</f>
        <v>CA</v>
      </c>
      <c r="I31" s="25">
        <v>41317</v>
      </c>
      <c r="J31" s="25">
        <v>41324</v>
      </c>
      <c r="K31" s="37">
        <v>370</v>
      </c>
      <c r="L31" s="37">
        <v>100</v>
      </c>
      <c r="M31" s="40">
        <v>7</v>
      </c>
      <c r="N31" s="40"/>
      <c r="O31" s="26">
        <v>5</v>
      </c>
      <c r="P31" s="26">
        <v>10</v>
      </c>
      <c r="Q31" s="26">
        <v>30</v>
      </c>
      <c r="R31" s="27"/>
      <c r="S31" s="37"/>
      <c r="T31" s="37"/>
      <c r="U31" s="37"/>
      <c r="V31" s="37"/>
      <c r="W31" s="37"/>
      <c r="X31" s="37"/>
      <c r="Y31" s="37"/>
      <c r="Z31" s="37"/>
      <c r="AA31" s="36"/>
      <c r="AC31" s="36"/>
      <c r="AE31" s="36"/>
      <c r="AG31" s="36"/>
      <c r="AI31" s="36"/>
      <c r="AK31" s="36"/>
      <c r="AM31" s="36"/>
      <c r="AO31" s="36"/>
      <c r="AQ31" s="36"/>
      <c r="AS31" s="36"/>
      <c r="AU31" s="36"/>
      <c r="AW31" s="36"/>
      <c r="AY31" s="24">
        <v>1</v>
      </c>
      <c r="AZ31" s="24">
        <v>0</v>
      </c>
      <c r="BA31" s="24">
        <v>6</v>
      </c>
      <c r="BB31" s="28"/>
      <c r="BC31" s="23"/>
      <c r="BD31" s="23"/>
      <c r="BE31" s="23"/>
      <c r="BF31" s="23"/>
      <c r="BG31" s="23"/>
      <c r="BH31" s="23"/>
      <c r="BI31" s="23"/>
      <c r="BJ31" s="23"/>
      <c r="CI3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31">
        <f>COUNTA(Table1[[#This Row],[Reward Level 1]:[Reward Level 36]])</f>
        <v>3</v>
      </c>
      <c r="CK31">
        <f>COUNTIF(Table1[[#This Row],[Backers Level 1]:[Backers Level 36]],"&gt;0")</f>
        <v>2</v>
      </c>
      <c r="CL31" s="49">
        <f>Table1[[#This Row],[Pledge]]/Table1[[#This Row],[Backers]]</f>
        <v>52.857142857142854</v>
      </c>
      <c r="CM31" s="32" t="str">
        <f>IF(Table1[[#This Row],[Pledge]]=Table1[[#This Row],[Pledge Count]],"OK!","N!")</f>
        <v>N!</v>
      </c>
      <c r="CN3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185</v>
      </c>
      <c r="CO31" s="53">
        <f>Table1[[#This Row],[Pledge]]-Table1[[#This Row],[Pledge Count]]</f>
        <v>185</v>
      </c>
      <c r="CP31" s="32" t="str">
        <f>IF(Table1[[#This Row],[Backers]]=Table1[[#This Row],[Backers Count]],"OK!","N!")</f>
        <v>OK!</v>
      </c>
      <c r="CQ31" s="32">
        <f>SUM(Table1[[#This Row],[Backers Level 1]:[Backers Level 36]])</f>
        <v>7</v>
      </c>
      <c r="CR31" s="32">
        <f>Table1[[#This Row],[Backers]]-Table1[[#This Row],[Backers Count]]</f>
        <v>0</v>
      </c>
      <c r="CS3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3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3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0</v>
      </c>
      <c r="CV3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3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3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3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3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1"/>
      <c r="DE31"/>
      <c r="DG31"/>
      <c r="DI31"/>
      <c r="DK31"/>
      <c r="DM31"/>
      <c r="DO31"/>
      <c r="DQ31"/>
      <c r="DS31"/>
      <c r="DT31"/>
    </row>
    <row r="32" spans="1:124">
      <c r="A32" s="22" t="s">
        <v>173</v>
      </c>
      <c r="B32" s="14">
        <v>41332</v>
      </c>
      <c r="C32" s="23" t="s">
        <v>197</v>
      </c>
      <c r="D32" s="23" t="s">
        <v>198</v>
      </c>
      <c r="E32" s="24" t="s">
        <v>199</v>
      </c>
      <c r="F32" s="23" t="s">
        <v>87</v>
      </c>
      <c r="G32" s="23" t="s">
        <v>111</v>
      </c>
      <c r="H32" s="32" t="str">
        <f>RIGHT(Table1[[#This Row],[Location]],2)</f>
        <v>NY</v>
      </c>
      <c r="I32" s="25">
        <v>41311</v>
      </c>
      <c r="J32" s="25">
        <v>41324</v>
      </c>
      <c r="K32" s="37">
        <v>5260</v>
      </c>
      <c r="L32" s="37">
        <v>5000</v>
      </c>
      <c r="M32" s="40">
        <v>74</v>
      </c>
      <c r="N32" s="40"/>
      <c r="O32" s="26">
        <v>1</v>
      </c>
      <c r="P32" s="26">
        <v>25</v>
      </c>
      <c r="Q32" s="26">
        <v>50</v>
      </c>
      <c r="R32" s="27">
        <v>100</v>
      </c>
      <c r="S32" s="37">
        <v>200</v>
      </c>
      <c r="T32" s="37">
        <v>300</v>
      </c>
      <c r="U32" s="37">
        <v>100</v>
      </c>
      <c r="V32" s="37"/>
      <c r="W32" s="37"/>
      <c r="X32" s="37"/>
      <c r="Y32" s="37"/>
      <c r="Z32" s="37"/>
      <c r="AA32" s="36"/>
      <c r="AC32" s="36"/>
      <c r="AE32" s="36"/>
      <c r="AG32" s="36"/>
      <c r="AI32" s="36"/>
      <c r="AK32" s="36"/>
      <c r="AM32" s="36"/>
      <c r="AO32" s="36"/>
      <c r="AQ32" s="36"/>
      <c r="AS32" s="36"/>
      <c r="AU32" s="36"/>
      <c r="AW32" s="36"/>
      <c r="AY32" s="24">
        <v>7</v>
      </c>
      <c r="AZ32" s="24">
        <v>22</v>
      </c>
      <c r="BA32" s="24">
        <v>21</v>
      </c>
      <c r="BB32" s="28">
        <v>8</v>
      </c>
      <c r="BC32" s="23">
        <v>3</v>
      </c>
      <c r="BD32" s="23">
        <v>1</v>
      </c>
      <c r="BE32" s="23">
        <v>1</v>
      </c>
      <c r="BF32" s="23"/>
      <c r="BG32" s="23"/>
      <c r="BH32" s="23"/>
      <c r="BI32" s="23"/>
      <c r="BJ32" s="23"/>
      <c r="CI3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2">
        <f>COUNTA(Table1[[#This Row],[Reward Level 1]:[Reward Level 36]])</f>
        <v>7</v>
      </c>
      <c r="CK32">
        <f>COUNTIF(Table1[[#This Row],[Backers Level 1]:[Backers Level 36]],"&gt;0")</f>
        <v>7</v>
      </c>
      <c r="CL32" s="49">
        <f>Table1[[#This Row],[Pledge]]/Table1[[#This Row],[Backers]]</f>
        <v>71.081081081081081</v>
      </c>
      <c r="CM32" s="32" t="str">
        <f>IF(Table1[[#This Row],[Pledge]]=Table1[[#This Row],[Pledge Count]],"OK!","N!")</f>
        <v>N!</v>
      </c>
      <c r="CN3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3407</v>
      </c>
      <c r="CO32" s="53">
        <f>Table1[[#This Row],[Pledge]]-Table1[[#This Row],[Pledge Count]]</f>
        <v>1853</v>
      </c>
      <c r="CP32" s="32" t="str">
        <f>IF(Table1[[#This Row],[Backers]]=Table1[[#This Row],[Backers Count]],"OK!","N!")</f>
        <v>N!</v>
      </c>
      <c r="CQ32" s="32">
        <f>SUM(Table1[[#This Row],[Backers Level 1]:[Backers Level 36]])</f>
        <v>63</v>
      </c>
      <c r="CR32" s="32">
        <f>Table1[[#This Row],[Backers]]-Table1[[#This Row],[Backers Count]]</f>
        <v>11</v>
      </c>
      <c r="CS3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7</v>
      </c>
      <c r="CT3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3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3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21</v>
      </c>
      <c r="CW3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9</v>
      </c>
      <c r="CX3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3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3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2"/>
      <c r="DE32"/>
      <c r="DG32"/>
      <c r="DI32"/>
      <c r="DK32"/>
      <c r="DM32"/>
      <c r="DO32"/>
      <c r="DQ32"/>
      <c r="DS32"/>
      <c r="DT32"/>
    </row>
    <row r="33" spans="1:124">
      <c r="A33" s="22" t="s">
        <v>174</v>
      </c>
      <c r="B33" s="14">
        <v>41332</v>
      </c>
      <c r="C33" s="23" t="s">
        <v>200</v>
      </c>
      <c r="D33" s="23" t="s">
        <v>201</v>
      </c>
      <c r="E33" s="24" t="s">
        <v>202</v>
      </c>
      <c r="F33" s="23" t="s">
        <v>26</v>
      </c>
      <c r="G33" s="23" t="s">
        <v>515</v>
      </c>
      <c r="H33" s="32" t="str">
        <f>RIGHT(Table1[[#This Row],[Location]],2)</f>
        <v>NY</v>
      </c>
      <c r="I33" s="25">
        <v>41298</v>
      </c>
      <c r="J33" s="25">
        <v>41323</v>
      </c>
      <c r="K33" s="37">
        <v>1875</v>
      </c>
      <c r="L33" s="37">
        <v>1000</v>
      </c>
      <c r="M33" s="40">
        <v>45</v>
      </c>
      <c r="N33" s="40">
        <v>1160</v>
      </c>
      <c r="O33" s="26">
        <v>1</v>
      </c>
      <c r="P33" s="26">
        <v>10</v>
      </c>
      <c r="Q33" s="26">
        <v>25</v>
      </c>
      <c r="R33" s="27">
        <v>50</v>
      </c>
      <c r="S33" s="37">
        <v>100</v>
      </c>
      <c r="T33" s="37">
        <v>300</v>
      </c>
      <c r="U33" s="37">
        <v>500</v>
      </c>
      <c r="V33" s="37">
        <v>750</v>
      </c>
      <c r="W33" s="37">
        <v>1000</v>
      </c>
      <c r="X33" s="37"/>
      <c r="Y33" s="37"/>
      <c r="Z33" s="37"/>
      <c r="AA33" s="36"/>
      <c r="AC33" s="36"/>
      <c r="AE33" s="36"/>
      <c r="AG33" s="36"/>
      <c r="AI33" s="36"/>
      <c r="AK33" s="36"/>
      <c r="AM33" s="36"/>
      <c r="AO33" s="36"/>
      <c r="AQ33" s="36"/>
      <c r="AS33" s="36"/>
      <c r="AU33" s="36"/>
      <c r="AW33" s="36"/>
      <c r="AY33" s="24">
        <v>4</v>
      </c>
      <c r="AZ33" s="24">
        <v>9</v>
      </c>
      <c r="BA33" s="24">
        <v>14</v>
      </c>
      <c r="BB33" s="28">
        <v>5</v>
      </c>
      <c r="BC33" s="23">
        <v>7</v>
      </c>
      <c r="BD33" s="23">
        <v>0</v>
      </c>
      <c r="BE33" s="23">
        <v>0</v>
      </c>
      <c r="BF33" s="23">
        <v>0</v>
      </c>
      <c r="BG33" s="23">
        <v>0</v>
      </c>
      <c r="BH33" s="23"/>
      <c r="BI33" s="23"/>
      <c r="BJ33" s="23"/>
      <c r="CI3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3">
        <f>COUNTA(Table1[[#This Row],[Reward Level 1]:[Reward Level 36]])</f>
        <v>9</v>
      </c>
      <c r="CK33">
        <f>COUNTIF(Table1[[#This Row],[Backers Level 1]:[Backers Level 36]],"&gt;0")</f>
        <v>5</v>
      </c>
      <c r="CL33" s="49">
        <f>Table1[[#This Row],[Pledge]]/Table1[[#This Row],[Backers]]</f>
        <v>41.666666666666664</v>
      </c>
      <c r="CM33" s="32" t="str">
        <f>IF(Table1[[#This Row],[Pledge]]=Table1[[#This Row],[Pledge Count]],"OK!","N!")</f>
        <v>N!</v>
      </c>
      <c r="CN3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1394</v>
      </c>
      <c r="CO33" s="53">
        <f>Table1[[#This Row],[Pledge]]-Table1[[#This Row],[Pledge Count]]</f>
        <v>481</v>
      </c>
      <c r="CP33" s="32" t="str">
        <f>IF(Table1[[#This Row],[Backers]]=Table1[[#This Row],[Backers Count]],"OK!","N!")</f>
        <v>N!</v>
      </c>
      <c r="CQ33" s="32">
        <f>SUM(Table1[[#This Row],[Backers Level 1]:[Backers Level 36]])</f>
        <v>39</v>
      </c>
      <c r="CR33" s="32">
        <f>Table1[[#This Row],[Backers]]-Table1[[#This Row],[Backers Count]]</f>
        <v>6</v>
      </c>
      <c r="CS3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4</v>
      </c>
      <c r="CT3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9</v>
      </c>
      <c r="CU3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3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</v>
      </c>
      <c r="CW3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</v>
      </c>
      <c r="CX3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3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3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3"/>
      <c r="DE33"/>
      <c r="DG33"/>
      <c r="DI33"/>
      <c r="DK33"/>
      <c r="DM33"/>
      <c r="DO33"/>
      <c r="DQ33"/>
      <c r="DS33"/>
      <c r="DT33"/>
    </row>
    <row r="34" spans="1:124">
      <c r="A34" s="22" t="s">
        <v>175</v>
      </c>
      <c r="B34" s="14">
        <v>41332</v>
      </c>
      <c r="C34" s="23" t="s">
        <v>203</v>
      </c>
      <c r="D34" s="23" t="s">
        <v>204</v>
      </c>
      <c r="E34" s="24" t="s">
        <v>205</v>
      </c>
      <c r="F34" s="23" t="s">
        <v>87</v>
      </c>
      <c r="G34" s="23" t="s">
        <v>206</v>
      </c>
      <c r="H34" s="32" t="str">
        <f>RIGHT(Table1[[#This Row],[Location]],2)</f>
        <v>CA</v>
      </c>
      <c r="I34" s="25">
        <v>41292</v>
      </c>
      <c r="J34" s="25">
        <v>41323</v>
      </c>
      <c r="K34" s="37">
        <v>3684</v>
      </c>
      <c r="L34" s="37">
        <v>3000</v>
      </c>
      <c r="M34" s="40">
        <v>56</v>
      </c>
      <c r="N34" s="40"/>
      <c r="O34" s="26">
        <v>1</v>
      </c>
      <c r="P34" s="26">
        <v>10</v>
      </c>
      <c r="Q34" s="26">
        <v>20</v>
      </c>
      <c r="R34" s="27">
        <v>50</v>
      </c>
      <c r="S34" s="37">
        <v>100</v>
      </c>
      <c r="T34" s="37">
        <v>250</v>
      </c>
      <c r="U34" s="37">
        <v>500</v>
      </c>
      <c r="V34" s="37">
        <v>1000</v>
      </c>
      <c r="W34" s="37"/>
      <c r="X34" s="37"/>
      <c r="Y34" s="37"/>
      <c r="Z34" s="37"/>
      <c r="AA34" s="36"/>
      <c r="AC34" s="36"/>
      <c r="AE34" s="36"/>
      <c r="AG34" s="36"/>
      <c r="AI34" s="36"/>
      <c r="AK34" s="36"/>
      <c r="AM34" s="36"/>
      <c r="AO34" s="36"/>
      <c r="AQ34" s="36"/>
      <c r="AS34" s="36"/>
      <c r="AU34" s="36"/>
      <c r="AW34" s="36"/>
      <c r="AY34" s="24">
        <v>0</v>
      </c>
      <c r="AZ34" s="24">
        <v>15</v>
      </c>
      <c r="BA34" s="24">
        <v>18</v>
      </c>
      <c r="BB34" s="28">
        <v>6</v>
      </c>
      <c r="BC34" s="23">
        <v>5</v>
      </c>
      <c r="BD34" s="23">
        <v>0</v>
      </c>
      <c r="BE34" s="23">
        <v>0</v>
      </c>
      <c r="BF34" s="23">
        <v>1</v>
      </c>
      <c r="BG34" s="23"/>
      <c r="BH34" s="23"/>
      <c r="BI34" s="23"/>
      <c r="BJ34" s="23"/>
      <c r="CI3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4">
        <f>COUNTA(Table1[[#This Row],[Reward Level 1]:[Reward Level 36]])</f>
        <v>8</v>
      </c>
      <c r="CK34">
        <f>COUNTIF(Table1[[#This Row],[Backers Level 1]:[Backers Level 36]],"&gt;0")</f>
        <v>5</v>
      </c>
      <c r="CL34" s="49">
        <f>Table1[[#This Row],[Pledge]]/Table1[[#This Row],[Backers]]</f>
        <v>65.785714285714292</v>
      </c>
      <c r="CM34" s="32" t="str">
        <f>IF(Table1[[#This Row],[Pledge]]=Table1[[#This Row],[Pledge Count]],"OK!","N!")</f>
        <v>N!</v>
      </c>
      <c r="CN3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2310</v>
      </c>
      <c r="CO34" s="53">
        <f>Table1[[#This Row],[Pledge]]-Table1[[#This Row],[Pledge Count]]</f>
        <v>1374</v>
      </c>
      <c r="CP34" s="32" t="str">
        <f>IF(Table1[[#This Row],[Backers]]=Table1[[#This Row],[Backers Count]],"OK!","N!")</f>
        <v>N!</v>
      </c>
      <c r="CQ34" s="32">
        <f>SUM(Table1[[#This Row],[Backers Level 1]:[Backers Level 36]])</f>
        <v>45</v>
      </c>
      <c r="CR34" s="32">
        <f>Table1[[#This Row],[Backers]]-Table1[[#This Row],[Backers Count]]</f>
        <v>11</v>
      </c>
      <c r="CS3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3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15</v>
      </c>
      <c r="CU3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18</v>
      </c>
      <c r="CV3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3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3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3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3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3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4"/>
      <c r="DE34"/>
      <c r="DG34"/>
      <c r="DI34"/>
      <c r="DK34"/>
      <c r="DM34"/>
      <c r="DO34"/>
      <c r="DQ34"/>
      <c r="DS34"/>
      <c r="DT34"/>
    </row>
    <row r="35" spans="1:124">
      <c r="A35" s="22" t="s">
        <v>176</v>
      </c>
      <c r="B35" s="14">
        <v>41332</v>
      </c>
      <c r="C35" s="23" t="s">
        <v>207</v>
      </c>
      <c r="D35" s="23" t="s">
        <v>208</v>
      </c>
      <c r="E35" s="24" t="s">
        <v>209</v>
      </c>
      <c r="F35" s="23" t="s">
        <v>87</v>
      </c>
      <c r="G35" s="23" t="s">
        <v>210</v>
      </c>
      <c r="H35" s="32" t="str">
        <f>RIGHT(Table1[[#This Row],[Location]],2)</f>
        <v>NV</v>
      </c>
      <c r="I35" s="25">
        <v>41297</v>
      </c>
      <c r="J35" s="25">
        <v>41323</v>
      </c>
      <c r="K35" s="37">
        <v>4500</v>
      </c>
      <c r="L35" s="37">
        <v>3800</v>
      </c>
      <c r="M35" s="40">
        <v>132</v>
      </c>
      <c r="N35" s="40">
        <v>832</v>
      </c>
      <c r="O35" s="26">
        <v>1</v>
      </c>
      <c r="P35" s="26">
        <v>10</v>
      </c>
      <c r="Q35" s="26">
        <v>15</v>
      </c>
      <c r="R35" s="27">
        <v>20</v>
      </c>
      <c r="S35" s="37">
        <v>25</v>
      </c>
      <c r="T35" s="37">
        <v>50</v>
      </c>
      <c r="U35" s="37">
        <v>100</v>
      </c>
      <c r="V35" s="37">
        <v>250</v>
      </c>
      <c r="W35" s="37">
        <v>500</v>
      </c>
      <c r="X35" s="37">
        <v>1000</v>
      </c>
      <c r="Y35" s="37"/>
      <c r="Z35" s="37"/>
      <c r="AA35" s="36"/>
      <c r="AC35" s="36"/>
      <c r="AE35" s="36"/>
      <c r="AG35" s="36"/>
      <c r="AI35" s="36"/>
      <c r="AK35" s="36"/>
      <c r="AM35" s="36"/>
      <c r="AO35" s="36"/>
      <c r="AQ35" s="36"/>
      <c r="AS35" s="36"/>
      <c r="AU35" s="36"/>
      <c r="AW35" s="36"/>
      <c r="AY35" s="24">
        <v>1</v>
      </c>
      <c r="AZ35" s="24">
        <v>26</v>
      </c>
      <c r="BA35" s="24">
        <v>20</v>
      </c>
      <c r="BB35" s="28">
        <v>18</v>
      </c>
      <c r="BC35" s="23">
        <v>46</v>
      </c>
      <c r="BD35" s="23">
        <v>10</v>
      </c>
      <c r="BE35" s="23">
        <v>5</v>
      </c>
      <c r="BF35" s="23">
        <v>1</v>
      </c>
      <c r="BG35" s="23">
        <v>1</v>
      </c>
      <c r="BH35" s="23">
        <v>0</v>
      </c>
      <c r="BI35" s="23"/>
      <c r="BJ35" s="23"/>
      <c r="CI3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5">
        <f>COUNTA(Table1[[#This Row],[Reward Level 1]:[Reward Level 36]])</f>
        <v>10</v>
      </c>
      <c r="CK35">
        <f>COUNTIF(Table1[[#This Row],[Backers Level 1]:[Backers Level 36]],"&gt;0")</f>
        <v>9</v>
      </c>
      <c r="CL35" s="49">
        <f>Table1[[#This Row],[Pledge]]/Table1[[#This Row],[Backers]]</f>
        <v>34.090909090909093</v>
      </c>
      <c r="CM35" s="32" t="str">
        <f>IF(Table1[[#This Row],[Pledge]]=Table1[[#This Row],[Pledge Count]],"OK!","N!")</f>
        <v>N!</v>
      </c>
      <c r="CN3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3821</v>
      </c>
      <c r="CO35" s="53">
        <f>Table1[[#This Row],[Pledge]]-Table1[[#This Row],[Pledge Count]]</f>
        <v>679</v>
      </c>
      <c r="CP35" s="32" t="str">
        <f>IF(Table1[[#This Row],[Backers]]=Table1[[#This Row],[Backers Count]],"OK!","N!")</f>
        <v>N!</v>
      </c>
      <c r="CQ35" s="32">
        <f>SUM(Table1[[#This Row],[Backers Level 1]:[Backers Level 36]])</f>
        <v>128</v>
      </c>
      <c r="CR35" s="32">
        <f>Table1[[#This Row],[Backers]]-Table1[[#This Row],[Backers Count]]</f>
        <v>4</v>
      </c>
      <c r="CS3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3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26</v>
      </c>
      <c r="CU3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84</v>
      </c>
      <c r="CV3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10</v>
      </c>
      <c r="CW3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3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3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3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5"/>
      <c r="DE35"/>
      <c r="DG35"/>
      <c r="DI35"/>
      <c r="DK35"/>
      <c r="DM35"/>
      <c r="DO35"/>
      <c r="DQ35"/>
      <c r="DS35"/>
      <c r="DT35"/>
    </row>
    <row r="36" spans="1:124">
      <c r="A36" s="22" t="s">
        <v>177</v>
      </c>
      <c r="B36" s="14">
        <v>41332</v>
      </c>
      <c r="C36" s="23" t="s">
        <v>211</v>
      </c>
      <c r="D36" s="23" t="s">
        <v>212</v>
      </c>
      <c r="E36" s="24" t="s">
        <v>213</v>
      </c>
      <c r="F36" s="23" t="s">
        <v>65</v>
      </c>
      <c r="G36" s="23" t="s">
        <v>214</v>
      </c>
      <c r="H36" s="32" t="str">
        <f>RIGHT(Table1[[#This Row],[Location]],2)</f>
        <v>TX</v>
      </c>
      <c r="I36" s="25">
        <v>41298</v>
      </c>
      <c r="J36" s="25">
        <v>41323</v>
      </c>
      <c r="K36" s="37">
        <v>2335</v>
      </c>
      <c r="L36" s="37">
        <v>2000</v>
      </c>
      <c r="M36" s="40">
        <v>33</v>
      </c>
      <c r="N36" s="40">
        <v>3517</v>
      </c>
      <c r="O36" s="26">
        <v>5</v>
      </c>
      <c r="P36" s="26">
        <v>15</v>
      </c>
      <c r="Q36" s="26">
        <v>25</v>
      </c>
      <c r="R36" s="27">
        <v>35</v>
      </c>
      <c r="S36" s="37">
        <v>50</v>
      </c>
      <c r="T36" s="37">
        <v>100</v>
      </c>
      <c r="U36" s="37">
        <v>250</v>
      </c>
      <c r="V36" s="37">
        <v>500</v>
      </c>
      <c r="W36" s="37">
        <v>1000</v>
      </c>
      <c r="X36" s="37"/>
      <c r="Y36" s="37"/>
      <c r="Z36" s="37"/>
      <c r="AA36" s="36"/>
      <c r="AC36" s="36"/>
      <c r="AE36" s="36"/>
      <c r="AG36" s="36"/>
      <c r="AI36" s="36"/>
      <c r="AK36" s="36"/>
      <c r="AM36" s="36"/>
      <c r="AO36" s="36"/>
      <c r="AQ36" s="36"/>
      <c r="AS36" s="36"/>
      <c r="AU36" s="36"/>
      <c r="AW36" s="36"/>
      <c r="AY36" s="24">
        <v>2</v>
      </c>
      <c r="AZ36" s="24">
        <v>9</v>
      </c>
      <c r="BA36" s="24">
        <v>5</v>
      </c>
      <c r="BB36" s="28">
        <v>4</v>
      </c>
      <c r="BC36" s="23">
        <v>7</v>
      </c>
      <c r="BD36" s="23">
        <v>2</v>
      </c>
      <c r="BE36" s="23">
        <v>1</v>
      </c>
      <c r="BF36" s="23">
        <v>0</v>
      </c>
      <c r="BG36" s="23">
        <v>1</v>
      </c>
      <c r="BH36" s="23"/>
      <c r="BI36" s="23"/>
      <c r="BJ36" s="23"/>
      <c r="CI3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6">
        <f>COUNTA(Table1[[#This Row],[Reward Level 1]:[Reward Level 36]])</f>
        <v>9</v>
      </c>
      <c r="CK36">
        <f>COUNTIF(Table1[[#This Row],[Backers Level 1]:[Backers Level 36]],"&gt;0")</f>
        <v>8</v>
      </c>
      <c r="CL36" s="49">
        <f>Table1[[#This Row],[Pledge]]/Table1[[#This Row],[Backers]]</f>
        <v>70.757575757575751</v>
      </c>
      <c r="CM36" s="32" t="str">
        <f>IF(Table1[[#This Row],[Pledge]]=Table1[[#This Row],[Pledge Count]],"OK!","N!")</f>
        <v>N!</v>
      </c>
      <c r="CN3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2210</v>
      </c>
      <c r="CO36" s="53">
        <f>Table1[[#This Row],[Pledge]]-Table1[[#This Row],[Pledge Count]]</f>
        <v>125</v>
      </c>
      <c r="CP36" s="32" t="str">
        <f>IF(Table1[[#This Row],[Backers]]=Table1[[#This Row],[Backers Count]],"OK!","N!")</f>
        <v>N!</v>
      </c>
      <c r="CQ36" s="32">
        <f>SUM(Table1[[#This Row],[Backers Level 1]:[Backers Level 36]])</f>
        <v>31</v>
      </c>
      <c r="CR36" s="32">
        <f>Table1[[#This Row],[Backers]]-Table1[[#This Row],[Backers Count]]</f>
        <v>2</v>
      </c>
      <c r="CS3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3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3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3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11</v>
      </c>
      <c r="CW3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3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3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3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3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6"/>
      <c r="DE36"/>
      <c r="DG36"/>
      <c r="DI36"/>
      <c r="DK36"/>
      <c r="DM36"/>
      <c r="DO36"/>
      <c r="DQ36"/>
      <c r="DS36"/>
      <c r="DT36"/>
    </row>
    <row r="37" spans="1:124">
      <c r="A37" s="22" t="s">
        <v>178</v>
      </c>
      <c r="B37" s="14">
        <v>41332</v>
      </c>
      <c r="C37" s="23" t="s">
        <v>215</v>
      </c>
      <c r="D37" s="23" t="s">
        <v>216</v>
      </c>
      <c r="E37" s="24" t="s">
        <v>217</v>
      </c>
      <c r="F37" s="23" t="s">
        <v>11</v>
      </c>
      <c r="G37" s="23" t="s">
        <v>516</v>
      </c>
      <c r="H37" s="32" t="str">
        <f>RIGHT(Table1[[#This Row],[Location]],2)</f>
        <v>MD</v>
      </c>
      <c r="I37" s="25">
        <v>41313</v>
      </c>
      <c r="J37" s="25">
        <v>41323</v>
      </c>
      <c r="K37" s="37">
        <v>7675</v>
      </c>
      <c r="L37" s="37">
        <v>7500</v>
      </c>
      <c r="M37" s="40">
        <v>205</v>
      </c>
      <c r="N37" s="40">
        <v>3644</v>
      </c>
      <c r="O37" s="26">
        <v>25</v>
      </c>
      <c r="P37" s="26"/>
      <c r="Q37" s="26"/>
      <c r="R37" s="27"/>
      <c r="S37" s="37"/>
      <c r="T37" s="37"/>
      <c r="U37" s="37"/>
      <c r="V37" s="37"/>
      <c r="W37" s="37"/>
      <c r="X37" s="37"/>
      <c r="Y37" s="37"/>
      <c r="Z37" s="37"/>
      <c r="AA37" s="36"/>
      <c r="AC37" s="36"/>
      <c r="AE37" s="36"/>
      <c r="AG37" s="36"/>
      <c r="AI37" s="36"/>
      <c r="AK37" s="36"/>
      <c r="AM37" s="36"/>
      <c r="AO37" s="36"/>
      <c r="AQ37" s="36"/>
      <c r="AS37" s="36"/>
      <c r="AU37" s="36"/>
      <c r="AW37" s="36"/>
      <c r="AY37" s="24">
        <v>203</v>
      </c>
      <c r="AZ37" s="24"/>
      <c r="BA37" s="24"/>
      <c r="BB37" s="28"/>
      <c r="BC37" s="23"/>
      <c r="BD37" s="23"/>
      <c r="BE37" s="23"/>
      <c r="BF37" s="23"/>
      <c r="BG37" s="23"/>
      <c r="BH37" s="23"/>
      <c r="BI37" s="23"/>
      <c r="BJ37" s="23"/>
      <c r="CI3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7">
        <f>COUNTA(Table1[[#This Row],[Reward Level 1]:[Reward Level 36]])</f>
        <v>1</v>
      </c>
      <c r="CK37">
        <f>COUNTIF(Table1[[#This Row],[Backers Level 1]:[Backers Level 36]],"&gt;0")</f>
        <v>1</v>
      </c>
      <c r="CL37" s="49">
        <f>Table1[[#This Row],[Pledge]]/Table1[[#This Row],[Backers]]</f>
        <v>37.439024390243901</v>
      </c>
      <c r="CM37" s="32" t="str">
        <f>IF(Table1[[#This Row],[Pledge]]=Table1[[#This Row],[Pledge Count]],"OK!","N!")</f>
        <v>N!</v>
      </c>
      <c r="CN3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5075</v>
      </c>
      <c r="CO37" s="53">
        <f>Table1[[#This Row],[Pledge]]-Table1[[#This Row],[Pledge Count]]</f>
        <v>2600</v>
      </c>
      <c r="CP37" s="32" t="str">
        <f>IF(Table1[[#This Row],[Backers]]=Table1[[#This Row],[Backers Count]],"OK!","N!")</f>
        <v>N!</v>
      </c>
      <c r="CQ37" s="32">
        <f>SUM(Table1[[#This Row],[Backers Level 1]:[Backers Level 36]])</f>
        <v>203</v>
      </c>
      <c r="CR37" s="32">
        <f>Table1[[#This Row],[Backers]]-Table1[[#This Row],[Backers Count]]</f>
        <v>2</v>
      </c>
      <c r="CS3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3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3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203</v>
      </c>
      <c r="CV3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3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3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3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3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7"/>
      <c r="DE37"/>
      <c r="DG37"/>
      <c r="DI37"/>
      <c r="DK37"/>
      <c r="DM37"/>
      <c r="DO37"/>
      <c r="DQ37"/>
      <c r="DS37"/>
      <c r="DT37"/>
    </row>
    <row r="38" spans="1:124">
      <c r="A38" s="22" t="s">
        <v>179</v>
      </c>
      <c r="B38" s="14">
        <v>41332</v>
      </c>
      <c r="C38" s="23" t="s">
        <v>218</v>
      </c>
      <c r="D38" s="23" t="s">
        <v>219</v>
      </c>
      <c r="E38" s="24" t="s">
        <v>220</v>
      </c>
      <c r="F38" s="23" t="s">
        <v>11</v>
      </c>
      <c r="G38" s="23" t="s">
        <v>517</v>
      </c>
      <c r="H38" s="32" t="str">
        <f>RIGHT(Table1[[#This Row],[Location]],2)</f>
        <v>PA</v>
      </c>
      <c r="I38" s="25">
        <v>41293</v>
      </c>
      <c r="J38" s="25">
        <v>41323</v>
      </c>
      <c r="K38" s="37">
        <v>7088</v>
      </c>
      <c r="L38" s="37">
        <v>7000</v>
      </c>
      <c r="M38" s="40">
        <v>69</v>
      </c>
      <c r="N38" s="40"/>
      <c r="O38" s="26">
        <v>1</v>
      </c>
      <c r="P38" s="26">
        <v>3</v>
      </c>
      <c r="Q38" s="26">
        <v>10</v>
      </c>
      <c r="R38" s="27">
        <v>15</v>
      </c>
      <c r="S38" s="37">
        <v>25</v>
      </c>
      <c r="T38" s="37">
        <v>50</v>
      </c>
      <c r="U38" s="37">
        <v>100</v>
      </c>
      <c r="V38" s="37">
        <v>200</v>
      </c>
      <c r="W38" s="37">
        <v>250</v>
      </c>
      <c r="X38" s="37">
        <v>500</v>
      </c>
      <c r="Y38" s="37">
        <v>750</v>
      </c>
      <c r="Z38" s="37">
        <v>1000</v>
      </c>
      <c r="AA38" s="36">
        <v>2500</v>
      </c>
      <c r="AC38" s="36"/>
      <c r="AE38" s="36"/>
      <c r="AG38" s="36"/>
      <c r="AI38" s="36"/>
      <c r="AK38" s="36"/>
      <c r="AM38" s="36"/>
      <c r="AO38" s="36"/>
      <c r="AQ38" s="36"/>
      <c r="AS38" s="36"/>
      <c r="AU38" s="36"/>
      <c r="AW38" s="36"/>
      <c r="AY38" s="24">
        <v>2</v>
      </c>
      <c r="AZ38" s="24">
        <v>3</v>
      </c>
      <c r="BA38" s="24">
        <v>6</v>
      </c>
      <c r="BB38" s="28">
        <v>6</v>
      </c>
      <c r="BC38" s="23">
        <v>33</v>
      </c>
      <c r="BD38" s="23">
        <v>4</v>
      </c>
      <c r="BE38" s="23">
        <v>2</v>
      </c>
      <c r="BF38" s="23">
        <v>1</v>
      </c>
      <c r="BG38" s="23">
        <v>0</v>
      </c>
      <c r="BH38" s="23">
        <v>1</v>
      </c>
      <c r="BI38" s="23">
        <v>1</v>
      </c>
      <c r="BJ38" s="23">
        <v>0</v>
      </c>
      <c r="BK38">
        <v>0</v>
      </c>
      <c r="CI3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8">
        <f>COUNTA(Table1[[#This Row],[Reward Level 1]:[Reward Level 36]])</f>
        <v>13</v>
      </c>
      <c r="CK38">
        <f>COUNTIF(Table1[[#This Row],[Backers Level 1]:[Backers Level 36]],"&gt;0")</f>
        <v>10</v>
      </c>
      <c r="CL38" s="49">
        <f>Table1[[#This Row],[Pledge]]/Table1[[#This Row],[Backers]]</f>
        <v>102.72463768115942</v>
      </c>
      <c r="CM38" s="32" t="str">
        <f>IF(Table1[[#This Row],[Pledge]]=Table1[[#This Row],[Pledge Count]],"OK!","N!")</f>
        <v>N!</v>
      </c>
      <c r="CN3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2836</v>
      </c>
      <c r="CO38" s="53">
        <f>Table1[[#This Row],[Pledge]]-Table1[[#This Row],[Pledge Count]]</f>
        <v>4252</v>
      </c>
      <c r="CP38" s="32" t="str">
        <f>IF(Table1[[#This Row],[Backers]]=Table1[[#This Row],[Backers Count]],"OK!","N!")</f>
        <v>N!</v>
      </c>
      <c r="CQ38" s="32">
        <f>SUM(Table1[[#This Row],[Backers Level 1]:[Backers Level 36]])</f>
        <v>59</v>
      </c>
      <c r="CR38" s="32">
        <f>Table1[[#This Row],[Backers]]-Table1[[#This Row],[Backers Count]]</f>
        <v>10</v>
      </c>
      <c r="CS3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3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6</v>
      </c>
      <c r="CU3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39</v>
      </c>
      <c r="CV3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3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3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3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3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3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8"/>
      <c r="DE38"/>
      <c r="DG38"/>
      <c r="DI38"/>
      <c r="DK38"/>
      <c r="DM38"/>
      <c r="DO38"/>
      <c r="DQ38"/>
      <c r="DS38"/>
      <c r="DT38"/>
    </row>
    <row r="39" spans="1:124">
      <c r="A39" s="22" t="s">
        <v>180</v>
      </c>
      <c r="B39" s="14">
        <v>41332</v>
      </c>
      <c r="C39" s="23" t="s">
        <v>221</v>
      </c>
      <c r="D39" s="23" t="s">
        <v>222</v>
      </c>
      <c r="E39" s="24" t="s">
        <v>223</v>
      </c>
      <c r="F39" s="23" t="s">
        <v>65</v>
      </c>
      <c r="G39" s="23" t="s">
        <v>224</v>
      </c>
      <c r="H39" s="32" t="str">
        <f>RIGHT(Table1[[#This Row],[Location]],2)</f>
        <v>RI</v>
      </c>
      <c r="I39" s="25">
        <v>41293</v>
      </c>
      <c r="J39" s="25">
        <v>41323</v>
      </c>
      <c r="K39" s="37">
        <v>7550</v>
      </c>
      <c r="L39" s="37">
        <v>5000</v>
      </c>
      <c r="M39" s="40">
        <v>145</v>
      </c>
      <c r="N39" s="40">
        <v>623</v>
      </c>
      <c r="O39" s="26">
        <v>1</v>
      </c>
      <c r="P39" s="26">
        <v>10</v>
      </c>
      <c r="Q39" s="26">
        <v>15</v>
      </c>
      <c r="R39" s="27">
        <v>25</v>
      </c>
      <c r="S39" s="37">
        <v>50</v>
      </c>
      <c r="T39" s="37">
        <v>100</v>
      </c>
      <c r="U39" s="37">
        <v>250</v>
      </c>
      <c r="V39" s="37">
        <v>500</v>
      </c>
      <c r="W39" s="37">
        <v>1000</v>
      </c>
      <c r="X39" s="37">
        <v>2500</v>
      </c>
      <c r="Y39" s="37"/>
      <c r="Z39" s="37"/>
      <c r="AA39" s="36"/>
      <c r="AC39" s="36"/>
      <c r="AE39" s="36"/>
      <c r="AG39" s="36"/>
      <c r="AI39" s="36"/>
      <c r="AK39" s="36"/>
      <c r="AM39" s="36"/>
      <c r="AO39" s="36"/>
      <c r="AQ39" s="36"/>
      <c r="AS39" s="36"/>
      <c r="AU39" s="36"/>
      <c r="AW39" s="36"/>
      <c r="AY39" s="24">
        <v>3</v>
      </c>
      <c r="AZ39" s="24">
        <v>31</v>
      </c>
      <c r="BA39" s="24">
        <v>22</v>
      </c>
      <c r="BB39" s="28">
        <v>47</v>
      </c>
      <c r="BC39" s="23">
        <v>11</v>
      </c>
      <c r="BD39" s="23">
        <v>14</v>
      </c>
      <c r="BE39" s="23">
        <v>4</v>
      </c>
      <c r="BF39" s="23">
        <v>3</v>
      </c>
      <c r="BG39" s="23">
        <v>0</v>
      </c>
      <c r="BH39" s="23">
        <v>0</v>
      </c>
      <c r="BI39" s="23"/>
      <c r="BJ39" s="23"/>
      <c r="CI3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39">
        <f>COUNTA(Table1[[#This Row],[Reward Level 1]:[Reward Level 36]])</f>
        <v>10</v>
      </c>
      <c r="CK39">
        <f>COUNTIF(Table1[[#This Row],[Backers Level 1]:[Backers Level 36]],"&gt;0")</f>
        <v>8</v>
      </c>
      <c r="CL39" s="49">
        <f>Table1[[#This Row],[Pledge]]/Table1[[#This Row],[Backers]]</f>
        <v>52.068965517241381</v>
      </c>
      <c r="CM39" s="32" t="str">
        <f>IF(Table1[[#This Row],[Pledge]]=Table1[[#This Row],[Pledge Count]],"OK!","N!")</f>
        <v>N!</v>
      </c>
      <c r="CN3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6268</v>
      </c>
      <c r="CO39" s="53">
        <f>Table1[[#This Row],[Pledge]]-Table1[[#This Row],[Pledge Count]]</f>
        <v>1282</v>
      </c>
      <c r="CP39" s="32" t="str">
        <f>IF(Table1[[#This Row],[Backers]]=Table1[[#This Row],[Backers Count]],"OK!","N!")</f>
        <v>N!</v>
      </c>
      <c r="CQ39" s="32">
        <f>SUM(Table1[[#This Row],[Backers Level 1]:[Backers Level 36]])</f>
        <v>135</v>
      </c>
      <c r="CR39" s="32">
        <f>Table1[[#This Row],[Backers]]-Table1[[#This Row],[Backers Count]]</f>
        <v>10</v>
      </c>
      <c r="CS3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3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31</v>
      </c>
      <c r="CU3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69</v>
      </c>
      <c r="CV3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11</v>
      </c>
      <c r="CW3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14</v>
      </c>
      <c r="CX3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3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3</v>
      </c>
      <c r="CZ3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3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3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39"/>
      <c r="DE39"/>
      <c r="DG39"/>
      <c r="DI39"/>
      <c r="DK39"/>
      <c r="DM39"/>
      <c r="DO39"/>
      <c r="DQ39"/>
      <c r="DS39"/>
      <c r="DT39"/>
    </row>
    <row r="40" spans="1:124">
      <c r="A40" s="22" t="s">
        <v>181</v>
      </c>
      <c r="B40" s="14">
        <v>41332</v>
      </c>
      <c r="C40" s="23" t="s">
        <v>225</v>
      </c>
      <c r="D40" s="23" t="s">
        <v>226</v>
      </c>
      <c r="E40" s="24" t="s">
        <v>227</v>
      </c>
      <c r="F40" s="23" t="s">
        <v>60</v>
      </c>
      <c r="G40" s="23" t="s">
        <v>228</v>
      </c>
      <c r="H40" s="32" t="str">
        <f>RIGHT(Table1[[#This Row],[Location]],2)</f>
        <v>ME</v>
      </c>
      <c r="I40" s="25">
        <v>41293</v>
      </c>
      <c r="J40" s="25">
        <v>41323</v>
      </c>
      <c r="K40" s="37">
        <v>4000</v>
      </c>
      <c r="L40" s="37">
        <v>3500</v>
      </c>
      <c r="M40" s="40">
        <v>94</v>
      </c>
      <c r="N40" s="40">
        <v>446</v>
      </c>
      <c r="O40" s="26">
        <v>1</v>
      </c>
      <c r="P40" s="26">
        <v>10</v>
      </c>
      <c r="Q40" s="26">
        <v>20</v>
      </c>
      <c r="R40" s="27">
        <v>50</v>
      </c>
      <c r="S40" s="37">
        <v>100</v>
      </c>
      <c r="T40" s="37">
        <v>500</v>
      </c>
      <c r="U40" s="37"/>
      <c r="V40" s="37"/>
      <c r="W40" s="37"/>
      <c r="X40" s="37"/>
      <c r="Y40" s="37"/>
      <c r="Z40" s="37"/>
      <c r="AA40" s="36"/>
      <c r="AC40" s="36"/>
      <c r="AE40" s="36"/>
      <c r="AG40" s="36"/>
      <c r="AI40" s="36"/>
      <c r="AK40" s="36"/>
      <c r="AM40" s="36"/>
      <c r="AO40" s="36"/>
      <c r="AQ40" s="36"/>
      <c r="AS40" s="36"/>
      <c r="AU40" s="36"/>
      <c r="AW40" s="36"/>
      <c r="AY40" s="24">
        <v>3</v>
      </c>
      <c r="AZ40" s="24">
        <v>15</v>
      </c>
      <c r="BA40" s="24">
        <v>23</v>
      </c>
      <c r="BB40" s="28">
        <v>18</v>
      </c>
      <c r="BC40" s="23">
        <v>13</v>
      </c>
      <c r="BD40" s="23">
        <v>0</v>
      </c>
      <c r="BE40" s="23"/>
      <c r="BF40" s="23"/>
      <c r="BG40" s="23"/>
      <c r="BH40" s="23"/>
      <c r="BI40" s="23"/>
      <c r="BJ40" s="23"/>
      <c r="CI4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0">
        <f>COUNTA(Table1[[#This Row],[Reward Level 1]:[Reward Level 36]])</f>
        <v>6</v>
      </c>
      <c r="CK40">
        <f>COUNTIF(Table1[[#This Row],[Backers Level 1]:[Backers Level 36]],"&gt;0")</f>
        <v>5</v>
      </c>
      <c r="CL40" s="49">
        <f>Table1[[#This Row],[Pledge]]/Table1[[#This Row],[Backers]]</f>
        <v>42.553191489361701</v>
      </c>
      <c r="CM40" s="32" t="str">
        <f>IF(Table1[[#This Row],[Pledge]]=Table1[[#This Row],[Pledge Count]],"OK!","N!")</f>
        <v>N!</v>
      </c>
      <c r="CN4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2813</v>
      </c>
      <c r="CO40" s="53">
        <f>Table1[[#This Row],[Pledge]]-Table1[[#This Row],[Pledge Count]]</f>
        <v>1187</v>
      </c>
      <c r="CP40" s="32" t="str">
        <f>IF(Table1[[#This Row],[Backers]]=Table1[[#This Row],[Backers Count]],"OK!","N!")</f>
        <v>N!</v>
      </c>
      <c r="CQ40" s="32">
        <f>SUM(Table1[[#This Row],[Backers Level 1]:[Backers Level 36]])</f>
        <v>72</v>
      </c>
      <c r="CR40" s="32">
        <f>Table1[[#This Row],[Backers]]-Table1[[#This Row],[Backers Count]]</f>
        <v>22</v>
      </c>
      <c r="CS4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4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15</v>
      </c>
      <c r="CU4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23</v>
      </c>
      <c r="CV4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18</v>
      </c>
      <c r="CW4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13</v>
      </c>
      <c r="CX4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0"/>
      <c r="DE40"/>
      <c r="DG40"/>
      <c r="DI40"/>
      <c r="DK40"/>
      <c r="DM40"/>
      <c r="DO40"/>
      <c r="DQ40"/>
      <c r="DS40"/>
      <c r="DT40"/>
    </row>
    <row r="41" spans="1:124">
      <c r="A41" s="22" t="s">
        <v>182</v>
      </c>
      <c r="B41" s="14">
        <v>41332</v>
      </c>
      <c r="C41" s="23" t="s">
        <v>239</v>
      </c>
      <c r="D41" s="23" t="s">
        <v>240</v>
      </c>
      <c r="E41" s="24" t="s">
        <v>241</v>
      </c>
      <c r="F41" s="23" t="s">
        <v>51</v>
      </c>
      <c r="G41" s="23" t="s">
        <v>242</v>
      </c>
      <c r="H41" s="32" t="str">
        <f>RIGHT(Table1[[#This Row],[Location]],2)</f>
        <v>TX</v>
      </c>
      <c r="I41" s="25">
        <v>41275</v>
      </c>
      <c r="J41" s="25">
        <v>41323</v>
      </c>
      <c r="K41" s="37">
        <v>1439</v>
      </c>
      <c r="L41" s="37">
        <v>1200</v>
      </c>
      <c r="M41" s="40">
        <v>21</v>
      </c>
      <c r="N41" s="40"/>
      <c r="O41" s="26">
        <v>1</v>
      </c>
      <c r="P41" s="26">
        <v>3</v>
      </c>
      <c r="Q41" s="26">
        <v>5</v>
      </c>
      <c r="R41" s="27">
        <v>12</v>
      </c>
      <c r="S41" s="37">
        <v>25</v>
      </c>
      <c r="T41" s="37">
        <v>50</v>
      </c>
      <c r="U41" s="37">
        <v>100</v>
      </c>
      <c r="V41" s="37">
        <v>200</v>
      </c>
      <c r="W41" s="37"/>
      <c r="X41" s="37"/>
      <c r="Y41" s="37"/>
      <c r="Z41" s="37"/>
      <c r="AA41" s="36"/>
      <c r="AC41" s="36"/>
      <c r="AE41" s="36"/>
      <c r="AG41" s="36"/>
      <c r="AI41" s="36"/>
      <c r="AK41" s="36"/>
      <c r="AM41" s="36"/>
      <c r="AO41" s="36"/>
      <c r="AQ41" s="36"/>
      <c r="AS41" s="36"/>
      <c r="AU41" s="36"/>
      <c r="AW41" s="36"/>
      <c r="AY41" s="24">
        <v>0</v>
      </c>
      <c r="AZ41" s="24">
        <v>0</v>
      </c>
      <c r="BA41" s="24">
        <v>0</v>
      </c>
      <c r="BB41" s="28">
        <v>3</v>
      </c>
      <c r="BC41" s="23">
        <v>6</v>
      </c>
      <c r="BD41" s="23">
        <v>4</v>
      </c>
      <c r="BE41" s="23">
        <v>4</v>
      </c>
      <c r="BF41" s="23">
        <v>3</v>
      </c>
      <c r="BG41" s="23"/>
      <c r="BH41" s="23"/>
      <c r="BI41" s="23"/>
      <c r="BJ41" s="23"/>
      <c r="CI4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1">
        <f>COUNTA(Table1[[#This Row],[Reward Level 1]:[Reward Level 36]])</f>
        <v>8</v>
      </c>
      <c r="CK41">
        <f>COUNTIF(Table1[[#This Row],[Backers Level 1]:[Backers Level 36]],"&gt;0")</f>
        <v>5</v>
      </c>
      <c r="CL41" s="49">
        <f>Table1[[#This Row],[Pledge]]/Table1[[#This Row],[Backers]]</f>
        <v>68.523809523809518</v>
      </c>
      <c r="CM41" s="32" t="str">
        <f>IF(Table1[[#This Row],[Pledge]]=Table1[[#This Row],[Pledge Count]],"OK!","N!")</f>
        <v>N!</v>
      </c>
      <c r="CN4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1386</v>
      </c>
      <c r="CO41" s="53">
        <f>Table1[[#This Row],[Pledge]]-Table1[[#This Row],[Pledge Count]]</f>
        <v>53</v>
      </c>
      <c r="CP41" s="32" t="str">
        <f>IF(Table1[[#This Row],[Backers]]=Table1[[#This Row],[Backers Count]],"OK!","N!")</f>
        <v>N!</v>
      </c>
      <c r="CQ41" s="32">
        <f>SUM(Table1[[#This Row],[Backers Level 1]:[Backers Level 36]])</f>
        <v>20</v>
      </c>
      <c r="CR41" s="32">
        <f>Table1[[#This Row],[Backers]]-Table1[[#This Row],[Backers Count]]</f>
        <v>1</v>
      </c>
      <c r="CS4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4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4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9</v>
      </c>
      <c r="CV4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4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</v>
      </c>
      <c r="CX4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4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1"/>
      <c r="DE41"/>
      <c r="DG41"/>
      <c r="DI41"/>
      <c r="DK41"/>
      <c r="DM41"/>
      <c r="DO41"/>
      <c r="DQ41"/>
      <c r="DS41"/>
      <c r="DT41"/>
    </row>
    <row r="42" spans="1:124">
      <c r="A42" s="22" t="s">
        <v>229</v>
      </c>
      <c r="B42" s="14">
        <v>41332</v>
      </c>
      <c r="C42" s="23" t="s">
        <v>243</v>
      </c>
      <c r="D42" s="23" t="s">
        <v>244</v>
      </c>
      <c r="E42" s="24" t="s">
        <v>245</v>
      </c>
      <c r="F42" s="23" t="s">
        <v>51</v>
      </c>
      <c r="G42" s="23" t="s">
        <v>111</v>
      </c>
      <c r="H42" s="32" t="str">
        <f>RIGHT(Table1[[#This Row],[Location]],2)</f>
        <v>NY</v>
      </c>
      <c r="I42" s="25">
        <v>41293</v>
      </c>
      <c r="J42" s="25">
        <v>41323</v>
      </c>
      <c r="K42" s="37">
        <v>995</v>
      </c>
      <c r="L42" s="37">
        <v>700</v>
      </c>
      <c r="M42" s="40">
        <v>27</v>
      </c>
      <c r="N42" s="40"/>
      <c r="O42" s="26">
        <v>1</v>
      </c>
      <c r="P42" s="26">
        <v>15</v>
      </c>
      <c r="Q42" s="26">
        <v>25</v>
      </c>
      <c r="R42" s="27">
        <v>50</v>
      </c>
      <c r="S42" s="37">
        <v>100</v>
      </c>
      <c r="T42" s="37">
        <v>150</v>
      </c>
      <c r="U42" s="37"/>
      <c r="V42" s="37"/>
      <c r="W42" s="37"/>
      <c r="X42" s="37"/>
      <c r="Y42" s="37"/>
      <c r="Z42" s="37"/>
      <c r="AA42" s="36"/>
      <c r="AC42" s="36"/>
      <c r="AE42" s="36"/>
      <c r="AG42" s="36"/>
      <c r="AI42" s="36"/>
      <c r="AK42" s="36"/>
      <c r="AM42" s="36"/>
      <c r="AO42" s="36"/>
      <c r="AQ42" s="36"/>
      <c r="AS42" s="36"/>
      <c r="AU42" s="36"/>
      <c r="AW42" s="36"/>
      <c r="AY42" s="24">
        <v>2</v>
      </c>
      <c r="AZ42" s="24">
        <v>3</v>
      </c>
      <c r="BA42" s="24">
        <v>9</v>
      </c>
      <c r="BB42" s="28">
        <v>3</v>
      </c>
      <c r="BC42" s="23">
        <v>0</v>
      </c>
      <c r="BD42" s="23">
        <v>2</v>
      </c>
      <c r="BE42" s="23"/>
      <c r="BF42" s="23"/>
      <c r="BG42" s="23"/>
      <c r="BH42" s="23"/>
      <c r="BI42" s="23"/>
      <c r="BJ42" s="23"/>
      <c r="CI4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42">
        <f>COUNTA(Table1[[#This Row],[Reward Level 1]:[Reward Level 36]])</f>
        <v>6</v>
      </c>
      <c r="CK42">
        <f>COUNTIF(Table1[[#This Row],[Backers Level 1]:[Backers Level 36]],"&gt;0")</f>
        <v>5</v>
      </c>
      <c r="CL42" s="49">
        <f>Table1[[#This Row],[Pledge]]/Table1[[#This Row],[Backers]]</f>
        <v>36.851851851851855</v>
      </c>
      <c r="CM42" s="32" t="str">
        <f>IF(Table1[[#This Row],[Pledge]]=Table1[[#This Row],[Pledge Count]],"OK!","N!")</f>
        <v>N!</v>
      </c>
      <c r="CN4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722</v>
      </c>
      <c r="CO42" s="53">
        <f>Table1[[#This Row],[Pledge]]-Table1[[#This Row],[Pledge Count]]</f>
        <v>273</v>
      </c>
      <c r="CP42" s="32" t="str">
        <f>IF(Table1[[#This Row],[Backers]]=Table1[[#This Row],[Backers Count]],"OK!","N!")</f>
        <v>N!</v>
      </c>
      <c r="CQ42" s="32">
        <f>SUM(Table1[[#This Row],[Backers Level 1]:[Backers Level 36]])</f>
        <v>19</v>
      </c>
      <c r="CR42" s="32">
        <f>Table1[[#This Row],[Backers]]-Table1[[#This Row],[Backers Count]]</f>
        <v>8</v>
      </c>
      <c r="CS4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4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4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12</v>
      </c>
      <c r="CV4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4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4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</v>
      </c>
      <c r="CY4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2"/>
      <c r="DE42"/>
      <c r="DG42"/>
      <c r="DI42"/>
      <c r="DK42"/>
      <c r="DM42"/>
      <c r="DO42"/>
      <c r="DQ42"/>
      <c r="DS42"/>
      <c r="DT42"/>
    </row>
    <row r="43" spans="1:124">
      <c r="A43" s="22" t="s">
        <v>230</v>
      </c>
      <c r="B43" s="14">
        <v>41332</v>
      </c>
      <c r="C43" s="23" t="s">
        <v>246</v>
      </c>
      <c r="D43" s="23" t="s">
        <v>247</v>
      </c>
      <c r="E43" s="24" t="s">
        <v>248</v>
      </c>
      <c r="F43" s="23" t="s">
        <v>51</v>
      </c>
      <c r="G43" s="23" t="s">
        <v>249</v>
      </c>
      <c r="H43" s="32" t="str">
        <f>RIGHT(Table1[[#This Row],[Location]],2)</f>
        <v>TX</v>
      </c>
      <c r="I43" s="25">
        <v>41303</v>
      </c>
      <c r="J43" s="25">
        <v>41323</v>
      </c>
      <c r="K43" s="37">
        <v>2056</v>
      </c>
      <c r="L43" s="37">
        <v>2046</v>
      </c>
      <c r="M43" s="40">
        <v>24</v>
      </c>
      <c r="N43" s="40">
        <v>290</v>
      </c>
      <c r="O43" s="26">
        <v>1</v>
      </c>
      <c r="P43" s="26">
        <v>10</v>
      </c>
      <c r="Q43" s="26">
        <v>15</v>
      </c>
      <c r="R43" s="27">
        <v>15</v>
      </c>
      <c r="S43" s="37">
        <v>20</v>
      </c>
      <c r="T43" s="37">
        <v>30</v>
      </c>
      <c r="U43" s="37">
        <v>40</v>
      </c>
      <c r="V43" s="37">
        <v>45</v>
      </c>
      <c r="W43" s="37">
        <v>55</v>
      </c>
      <c r="X43" s="37">
        <v>100</v>
      </c>
      <c r="Y43" s="37">
        <v>150</v>
      </c>
      <c r="Z43" s="37">
        <v>500</v>
      </c>
      <c r="AA43" s="36">
        <v>2046</v>
      </c>
      <c r="AC43" s="36"/>
      <c r="AE43" s="36"/>
      <c r="AG43" s="36"/>
      <c r="AI43" s="36"/>
      <c r="AK43" s="36"/>
      <c r="AM43" s="36"/>
      <c r="AO43" s="36"/>
      <c r="AQ43" s="36"/>
      <c r="AS43" s="36"/>
      <c r="AU43" s="36"/>
      <c r="AW43" s="36"/>
      <c r="AY43" s="24">
        <v>1</v>
      </c>
      <c r="AZ43" s="24">
        <v>3</v>
      </c>
      <c r="BA43" s="24">
        <v>1</v>
      </c>
      <c r="BB43" s="28">
        <v>0</v>
      </c>
      <c r="BC43" s="23">
        <v>6</v>
      </c>
      <c r="BD43" s="23">
        <v>3</v>
      </c>
      <c r="BE43" s="23">
        <v>1</v>
      </c>
      <c r="BF43" s="23">
        <v>0</v>
      </c>
      <c r="BG43" s="23">
        <v>1</v>
      </c>
      <c r="BH43" s="23">
        <v>2</v>
      </c>
      <c r="BI43" s="23">
        <v>0</v>
      </c>
      <c r="BJ43" s="23">
        <v>0</v>
      </c>
      <c r="BK43">
        <v>0</v>
      </c>
      <c r="CI4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3">
        <f>COUNTA(Table1[[#This Row],[Reward Level 1]:[Reward Level 36]])</f>
        <v>13</v>
      </c>
      <c r="CK43">
        <f>COUNTIF(Table1[[#This Row],[Backers Level 1]:[Backers Level 36]],"&gt;0")</f>
        <v>8</v>
      </c>
      <c r="CL43" s="49">
        <f>Table1[[#This Row],[Pledge]]/Table1[[#This Row],[Backers]]</f>
        <v>85.666666666666671</v>
      </c>
      <c r="CM43" s="32" t="str">
        <f>IF(Table1[[#This Row],[Pledge]]=Table1[[#This Row],[Pledge Count]],"OK!","N!")</f>
        <v>N!</v>
      </c>
      <c r="CN4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551</v>
      </c>
      <c r="CO43" s="53">
        <f>Table1[[#This Row],[Pledge]]-Table1[[#This Row],[Pledge Count]]</f>
        <v>1505</v>
      </c>
      <c r="CP43" s="32" t="str">
        <f>IF(Table1[[#This Row],[Backers]]=Table1[[#This Row],[Backers Count]],"OK!","N!")</f>
        <v>N!</v>
      </c>
      <c r="CQ43" s="32">
        <f>SUM(Table1[[#This Row],[Backers Level 1]:[Backers Level 36]])</f>
        <v>18</v>
      </c>
      <c r="CR43" s="32">
        <f>Table1[[#This Row],[Backers]]-Table1[[#This Row],[Backers Count]]</f>
        <v>6</v>
      </c>
      <c r="CS4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4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</v>
      </c>
      <c r="CU4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4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4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4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3"/>
      <c r="DE43"/>
      <c r="DG43"/>
      <c r="DI43"/>
      <c r="DK43"/>
      <c r="DM43"/>
      <c r="DO43"/>
      <c r="DQ43"/>
      <c r="DS43"/>
      <c r="DT43"/>
    </row>
    <row r="44" spans="1:124">
      <c r="A44" s="22" t="s">
        <v>231</v>
      </c>
      <c r="B44" s="14">
        <v>41332</v>
      </c>
      <c r="C44" s="23" t="s">
        <v>250</v>
      </c>
      <c r="D44" s="23" t="s">
        <v>251</v>
      </c>
      <c r="E44" s="24" t="s">
        <v>252</v>
      </c>
      <c r="F44" s="23" t="s">
        <v>51</v>
      </c>
      <c r="G44" s="23" t="s">
        <v>253</v>
      </c>
      <c r="H44" s="32" t="str">
        <f>RIGHT(Table1[[#This Row],[Location]],2)</f>
        <v>IN</v>
      </c>
      <c r="I44" s="25">
        <v>41293</v>
      </c>
      <c r="J44" s="25">
        <v>41323</v>
      </c>
      <c r="K44" s="37">
        <v>656</v>
      </c>
      <c r="L44" s="37">
        <v>500</v>
      </c>
      <c r="M44" s="40">
        <v>14</v>
      </c>
      <c r="N44" s="40"/>
      <c r="O44" s="26">
        <v>1</v>
      </c>
      <c r="P44" s="26">
        <v>5</v>
      </c>
      <c r="Q44" s="26">
        <v>20</v>
      </c>
      <c r="R44" s="27">
        <v>50</v>
      </c>
      <c r="S44" s="37">
        <v>75</v>
      </c>
      <c r="T44" s="37">
        <v>100</v>
      </c>
      <c r="U44" s="37">
        <v>150</v>
      </c>
      <c r="V44" s="37">
        <v>175</v>
      </c>
      <c r="W44" s="37">
        <v>200</v>
      </c>
      <c r="X44" s="37">
        <v>450</v>
      </c>
      <c r="Y44" s="37"/>
      <c r="Z44" s="37"/>
      <c r="AA44" s="36"/>
      <c r="AC44" s="36"/>
      <c r="AE44" s="36"/>
      <c r="AG44" s="36"/>
      <c r="AI44" s="36"/>
      <c r="AK44" s="36"/>
      <c r="AM44" s="36"/>
      <c r="AO44" s="36"/>
      <c r="AQ44" s="36"/>
      <c r="AS44" s="36"/>
      <c r="AU44" s="36"/>
      <c r="AW44" s="36"/>
      <c r="AY44" s="24">
        <v>1</v>
      </c>
      <c r="AZ44" s="24">
        <v>0</v>
      </c>
      <c r="BA44" s="24">
        <v>4</v>
      </c>
      <c r="BB44" s="28">
        <v>6</v>
      </c>
      <c r="BC44" s="23">
        <v>0</v>
      </c>
      <c r="BD44" s="23">
        <v>2</v>
      </c>
      <c r="BE44" s="23">
        <v>0</v>
      </c>
      <c r="BF44" s="23">
        <v>0</v>
      </c>
      <c r="BG44" s="23">
        <v>0</v>
      </c>
      <c r="BH44" s="23">
        <v>0</v>
      </c>
      <c r="BI44" s="23"/>
      <c r="BJ44" s="23"/>
      <c r="CI4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44">
        <f>COUNTA(Table1[[#This Row],[Reward Level 1]:[Reward Level 36]])</f>
        <v>10</v>
      </c>
      <c r="CK44">
        <f>COUNTIF(Table1[[#This Row],[Backers Level 1]:[Backers Level 36]],"&gt;0")</f>
        <v>4</v>
      </c>
      <c r="CL44" s="49">
        <f>Table1[[#This Row],[Pledge]]/Table1[[#This Row],[Backers]]</f>
        <v>46.857142857142854</v>
      </c>
      <c r="CM44" s="32" t="str">
        <f>IF(Table1[[#This Row],[Pledge]]=Table1[[#This Row],[Pledge Count]],"OK!","N!")</f>
        <v>N!</v>
      </c>
      <c r="CN4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581</v>
      </c>
      <c r="CO44" s="53">
        <f>Table1[[#This Row],[Pledge]]-Table1[[#This Row],[Pledge Count]]</f>
        <v>75</v>
      </c>
      <c r="CP44" s="32" t="str">
        <f>IF(Table1[[#This Row],[Backers]]=Table1[[#This Row],[Backers Count]],"OK!","N!")</f>
        <v>N!</v>
      </c>
      <c r="CQ44" s="32">
        <f>SUM(Table1[[#This Row],[Backers Level 1]:[Backers Level 36]])</f>
        <v>13</v>
      </c>
      <c r="CR44" s="32">
        <f>Table1[[#This Row],[Backers]]-Table1[[#This Row],[Backers Count]]</f>
        <v>1</v>
      </c>
      <c r="CS4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4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4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</v>
      </c>
      <c r="CV4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4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4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4"/>
      <c r="DE44"/>
      <c r="DG44"/>
      <c r="DI44"/>
      <c r="DK44"/>
      <c r="DM44"/>
      <c r="DO44"/>
      <c r="DQ44"/>
      <c r="DS44"/>
      <c r="DT44"/>
    </row>
    <row r="45" spans="1:124">
      <c r="A45" s="22" t="s">
        <v>232</v>
      </c>
      <c r="B45" s="14">
        <v>41332</v>
      </c>
      <c r="C45" s="23" t="s">
        <v>254</v>
      </c>
      <c r="D45" s="23" t="s">
        <v>255</v>
      </c>
      <c r="E45" s="24" t="s">
        <v>256</v>
      </c>
      <c r="F45" s="23" t="s">
        <v>26</v>
      </c>
      <c r="G45" s="23" t="s">
        <v>257</v>
      </c>
      <c r="H45" s="32" t="str">
        <f>RIGHT(Table1[[#This Row],[Location]],2)</f>
        <v>OH</v>
      </c>
      <c r="I45" s="25">
        <v>41297</v>
      </c>
      <c r="J45" s="25">
        <v>41322</v>
      </c>
      <c r="K45" s="37">
        <v>3021</v>
      </c>
      <c r="L45" s="37">
        <v>3000</v>
      </c>
      <c r="M45" s="40">
        <v>34</v>
      </c>
      <c r="N45" s="40">
        <v>1102</v>
      </c>
      <c r="O45" s="26">
        <v>10</v>
      </c>
      <c r="P45" s="26">
        <v>30</v>
      </c>
      <c r="Q45" s="26">
        <v>50</v>
      </c>
      <c r="R45" s="27">
        <v>75</v>
      </c>
      <c r="S45" s="37">
        <v>100</v>
      </c>
      <c r="T45" s="37">
        <v>250</v>
      </c>
      <c r="U45" s="37">
        <v>500</v>
      </c>
      <c r="V45" s="37"/>
      <c r="W45" s="37"/>
      <c r="X45" s="37"/>
      <c r="Y45" s="37"/>
      <c r="Z45" s="37"/>
      <c r="AA45" s="36"/>
      <c r="AC45" s="36"/>
      <c r="AE45" s="36"/>
      <c r="AG45" s="36"/>
      <c r="AI45" s="36"/>
      <c r="AK45" s="36"/>
      <c r="AM45" s="36"/>
      <c r="AO45" s="36"/>
      <c r="AQ45" s="36"/>
      <c r="AS45" s="36"/>
      <c r="AU45" s="36"/>
      <c r="AW45" s="36"/>
      <c r="AY45" s="24">
        <v>11</v>
      </c>
      <c r="AZ45" s="24">
        <v>5</v>
      </c>
      <c r="BA45" s="24">
        <v>8</v>
      </c>
      <c r="BB45" s="28">
        <v>0</v>
      </c>
      <c r="BC45" s="23">
        <v>1</v>
      </c>
      <c r="BD45" s="23">
        <v>1</v>
      </c>
      <c r="BE45" s="23">
        <v>1</v>
      </c>
      <c r="BF45" s="23"/>
      <c r="BG45" s="23"/>
      <c r="BH45" s="23"/>
      <c r="BI45" s="23"/>
      <c r="BJ45" s="23"/>
      <c r="CI4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5">
        <f>COUNTA(Table1[[#This Row],[Reward Level 1]:[Reward Level 36]])</f>
        <v>7</v>
      </c>
      <c r="CK45">
        <f>COUNTIF(Table1[[#This Row],[Backers Level 1]:[Backers Level 36]],"&gt;0")</f>
        <v>6</v>
      </c>
      <c r="CL45" s="49">
        <f>Table1[[#This Row],[Pledge]]/Table1[[#This Row],[Backers]]</f>
        <v>88.852941176470594</v>
      </c>
      <c r="CM45" s="32" t="str">
        <f>IF(Table1[[#This Row],[Pledge]]=Table1[[#This Row],[Pledge Count]],"OK!","N!")</f>
        <v>N!</v>
      </c>
      <c r="CN4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1510</v>
      </c>
      <c r="CO45" s="53">
        <f>Table1[[#This Row],[Pledge]]-Table1[[#This Row],[Pledge Count]]</f>
        <v>1511</v>
      </c>
      <c r="CP45" s="32" t="str">
        <f>IF(Table1[[#This Row],[Backers]]=Table1[[#This Row],[Backers Count]],"OK!","N!")</f>
        <v>N!</v>
      </c>
      <c r="CQ45" s="32">
        <f>SUM(Table1[[#This Row],[Backers Level 1]:[Backers Level 36]])</f>
        <v>27</v>
      </c>
      <c r="CR45" s="32">
        <f>Table1[[#This Row],[Backers]]-Table1[[#This Row],[Backers Count]]</f>
        <v>7</v>
      </c>
      <c r="CS4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4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11</v>
      </c>
      <c r="CU4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0</v>
      </c>
      <c r="CV4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13</v>
      </c>
      <c r="CW4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4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4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4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5"/>
      <c r="DE45"/>
      <c r="DG45"/>
      <c r="DI45"/>
      <c r="DK45"/>
      <c r="DM45"/>
      <c r="DO45"/>
      <c r="DQ45"/>
      <c r="DS45"/>
      <c r="DT45"/>
    </row>
    <row r="46" spans="1:124">
      <c r="A46" s="22" t="s">
        <v>233</v>
      </c>
      <c r="B46" s="14">
        <v>41332</v>
      </c>
      <c r="C46" s="23" t="s">
        <v>258</v>
      </c>
      <c r="D46" s="23" t="s">
        <v>259</v>
      </c>
      <c r="E46" s="24" t="s">
        <v>260</v>
      </c>
      <c r="F46" s="23" t="s">
        <v>11</v>
      </c>
      <c r="G46" s="23" t="s">
        <v>261</v>
      </c>
      <c r="H46" s="32" t="str">
        <f>RIGHT(Table1[[#This Row],[Location]],2)</f>
        <v>NY</v>
      </c>
      <c r="I46" s="25">
        <v>41291</v>
      </c>
      <c r="J46" s="25">
        <v>41322</v>
      </c>
      <c r="K46" s="37">
        <v>2611</v>
      </c>
      <c r="L46" s="37">
        <v>2500</v>
      </c>
      <c r="M46" s="40">
        <v>29</v>
      </c>
      <c r="N46" s="40">
        <v>1036</v>
      </c>
      <c r="O46" s="26">
        <v>5</v>
      </c>
      <c r="P46" s="26">
        <v>10</v>
      </c>
      <c r="Q46" s="26">
        <v>15</v>
      </c>
      <c r="R46" s="27">
        <v>25</v>
      </c>
      <c r="S46" s="37">
        <v>50</v>
      </c>
      <c r="T46" s="37"/>
      <c r="U46" s="37"/>
      <c r="V46" s="37"/>
      <c r="W46" s="37"/>
      <c r="X46" s="37"/>
      <c r="Y46" s="37"/>
      <c r="Z46" s="37"/>
      <c r="AA46" s="36"/>
      <c r="AC46" s="36"/>
      <c r="AE46" s="36"/>
      <c r="AG46" s="36"/>
      <c r="AI46" s="36"/>
      <c r="AK46" s="36"/>
      <c r="AM46" s="36"/>
      <c r="AO46" s="36"/>
      <c r="AQ46" s="36"/>
      <c r="AS46" s="36"/>
      <c r="AU46" s="36"/>
      <c r="AW46" s="36"/>
      <c r="AY46" s="24">
        <v>3</v>
      </c>
      <c r="AZ46" s="24">
        <v>1</v>
      </c>
      <c r="BA46" s="24">
        <v>1</v>
      </c>
      <c r="BB46" s="28">
        <v>4</v>
      </c>
      <c r="BC46" s="23">
        <v>11</v>
      </c>
      <c r="BD46" s="23"/>
      <c r="BE46" s="23"/>
      <c r="BF46" s="23"/>
      <c r="BG46" s="23"/>
      <c r="BH46" s="23"/>
      <c r="BI46" s="23"/>
      <c r="BJ46" s="23"/>
      <c r="CI4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6">
        <f>COUNTA(Table1[[#This Row],[Reward Level 1]:[Reward Level 36]])</f>
        <v>5</v>
      </c>
      <c r="CK46">
        <f>COUNTIF(Table1[[#This Row],[Backers Level 1]:[Backers Level 36]],"&gt;0")</f>
        <v>5</v>
      </c>
      <c r="CL46" s="49">
        <f>Table1[[#This Row],[Pledge]]/Table1[[#This Row],[Backers]]</f>
        <v>90.034482758620683</v>
      </c>
      <c r="CM46" s="32" t="str">
        <f>IF(Table1[[#This Row],[Pledge]]=Table1[[#This Row],[Pledge Count]],"OK!","N!")</f>
        <v>N!</v>
      </c>
      <c r="CN4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690</v>
      </c>
      <c r="CO46" s="53">
        <f>Table1[[#This Row],[Pledge]]-Table1[[#This Row],[Pledge Count]]</f>
        <v>1921</v>
      </c>
      <c r="CP46" s="32" t="str">
        <f>IF(Table1[[#This Row],[Backers]]=Table1[[#This Row],[Backers Count]],"OK!","N!")</f>
        <v>N!</v>
      </c>
      <c r="CQ46" s="32">
        <f>SUM(Table1[[#This Row],[Backers Level 1]:[Backers Level 36]])</f>
        <v>20</v>
      </c>
      <c r="CR46" s="32">
        <f>Table1[[#This Row],[Backers]]-Table1[[#This Row],[Backers Count]]</f>
        <v>9</v>
      </c>
      <c r="CS4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4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4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</v>
      </c>
      <c r="CV4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11</v>
      </c>
      <c r="CW4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4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4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6"/>
      <c r="DE46"/>
      <c r="DG46"/>
      <c r="DI46"/>
      <c r="DK46"/>
      <c r="DM46"/>
      <c r="DO46"/>
      <c r="DQ46"/>
      <c r="DS46"/>
      <c r="DT46"/>
    </row>
    <row r="47" spans="1:124">
      <c r="A47" s="22" t="s">
        <v>234</v>
      </c>
      <c r="B47" s="14">
        <v>41332</v>
      </c>
      <c r="C47" s="23" t="s">
        <v>262</v>
      </c>
      <c r="D47" s="23" t="s">
        <v>263</v>
      </c>
      <c r="E47" s="24" t="s">
        <v>264</v>
      </c>
      <c r="F47" s="23" t="s">
        <v>11</v>
      </c>
      <c r="G47" s="23" t="s">
        <v>265</v>
      </c>
      <c r="H47" s="32" t="str">
        <f>RIGHT(Table1[[#This Row],[Location]],2)</f>
        <v>OH</v>
      </c>
      <c r="I47" s="25">
        <v>41291</v>
      </c>
      <c r="J47" s="25">
        <v>41322</v>
      </c>
      <c r="K47" s="37">
        <v>1612</v>
      </c>
      <c r="L47" s="37">
        <v>1500</v>
      </c>
      <c r="M47" s="40">
        <v>20</v>
      </c>
      <c r="N47" s="40">
        <v>1677</v>
      </c>
      <c r="O47" s="26">
        <v>1</v>
      </c>
      <c r="P47" s="26">
        <v>5</v>
      </c>
      <c r="Q47" s="26">
        <v>10</v>
      </c>
      <c r="R47" s="27">
        <v>15</v>
      </c>
      <c r="S47" s="37">
        <v>25</v>
      </c>
      <c r="T47" s="37">
        <v>30</v>
      </c>
      <c r="U47" s="37">
        <v>50</v>
      </c>
      <c r="V47" s="37">
        <v>50</v>
      </c>
      <c r="W47" s="37">
        <v>75</v>
      </c>
      <c r="X47" s="37">
        <v>75</v>
      </c>
      <c r="Y47" s="37">
        <v>100</v>
      </c>
      <c r="Z47" s="37">
        <v>125</v>
      </c>
      <c r="AA47" s="36">
        <v>150</v>
      </c>
      <c r="AB47" s="36">
        <v>200</v>
      </c>
      <c r="AC47" s="36">
        <v>300</v>
      </c>
      <c r="AD47" s="36">
        <v>350</v>
      </c>
      <c r="AE47" s="36">
        <v>400</v>
      </c>
      <c r="AF47" s="36">
        <v>500</v>
      </c>
      <c r="AG47" s="36">
        <v>750</v>
      </c>
      <c r="AH47" s="36">
        <v>1000</v>
      </c>
      <c r="AI47" s="36">
        <v>2000</v>
      </c>
      <c r="AJ47" s="36">
        <v>10000</v>
      </c>
      <c r="AK47" s="36"/>
      <c r="AM47" s="36"/>
      <c r="AO47" s="36"/>
      <c r="AQ47" s="36"/>
      <c r="AS47" s="36"/>
      <c r="AU47" s="36"/>
      <c r="AW47" s="36"/>
      <c r="AY47" s="24">
        <v>1</v>
      </c>
      <c r="AZ47" s="24">
        <v>0</v>
      </c>
      <c r="BA47" s="24">
        <v>1</v>
      </c>
      <c r="BB47" s="28">
        <v>2</v>
      </c>
      <c r="BC47" s="23">
        <v>1</v>
      </c>
      <c r="BD47" s="23">
        <v>3</v>
      </c>
      <c r="BE47" s="23">
        <v>0</v>
      </c>
      <c r="BF47" s="23">
        <v>5</v>
      </c>
      <c r="BG47" s="23">
        <v>0</v>
      </c>
      <c r="BH47" s="23">
        <v>0</v>
      </c>
      <c r="BI47" s="23">
        <v>1</v>
      </c>
      <c r="BJ47" s="23">
        <v>1</v>
      </c>
      <c r="BK47">
        <v>0</v>
      </c>
      <c r="BL47">
        <v>0</v>
      </c>
      <c r="BM47">
        <v>1</v>
      </c>
      <c r="BN47">
        <v>0</v>
      </c>
      <c r="BO47">
        <v>0</v>
      </c>
      <c r="BP47">
        <v>1</v>
      </c>
      <c r="BQ47">
        <v>0</v>
      </c>
      <c r="BR47">
        <v>0</v>
      </c>
      <c r="BS47">
        <v>0</v>
      </c>
      <c r="BT47">
        <v>0</v>
      </c>
      <c r="CI4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7">
        <f>COUNTA(Table1[[#This Row],[Reward Level 1]:[Reward Level 36]])</f>
        <v>22</v>
      </c>
      <c r="CK47">
        <f>COUNTIF(Table1[[#This Row],[Backers Level 1]:[Backers Level 36]],"&gt;0")</f>
        <v>10</v>
      </c>
      <c r="CL47" s="49">
        <f>Table1[[#This Row],[Pledge]]/Table1[[#This Row],[Backers]]</f>
        <v>80.599999999999994</v>
      </c>
      <c r="CM47" s="32" t="str">
        <f>IF(Table1[[#This Row],[Pledge]]=Table1[[#This Row],[Pledge Count]],"OK!","N!")</f>
        <v>N!</v>
      </c>
      <c r="CN4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631</v>
      </c>
      <c r="CO47" s="53">
        <f>Table1[[#This Row],[Pledge]]-Table1[[#This Row],[Pledge Count]]</f>
        <v>981</v>
      </c>
      <c r="CP47" s="32" t="str">
        <f>IF(Table1[[#This Row],[Backers]]=Table1[[#This Row],[Backers Count]],"OK!","N!")</f>
        <v>N!</v>
      </c>
      <c r="CQ47" s="32">
        <f>SUM(Table1[[#This Row],[Backers Level 1]:[Backers Level 36]])</f>
        <v>17</v>
      </c>
      <c r="CR47" s="32">
        <f>Table1[[#This Row],[Backers]]-Table1[[#This Row],[Backers Count]]</f>
        <v>3</v>
      </c>
      <c r="CS4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4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4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</v>
      </c>
      <c r="CV4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4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4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4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4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7"/>
      <c r="DE47"/>
      <c r="DG47"/>
      <c r="DI47"/>
      <c r="DK47"/>
      <c r="DM47"/>
      <c r="DO47"/>
      <c r="DQ47"/>
      <c r="DS47"/>
      <c r="DT47"/>
    </row>
    <row r="48" spans="1:124">
      <c r="A48" s="22" t="s">
        <v>235</v>
      </c>
      <c r="B48" s="14">
        <v>41332</v>
      </c>
      <c r="C48" s="23" t="s">
        <v>266</v>
      </c>
      <c r="D48" s="23" t="s">
        <v>267</v>
      </c>
      <c r="E48" s="24" t="s">
        <v>268</v>
      </c>
      <c r="F48" s="23" t="s">
        <v>269</v>
      </c>
      <c r="G48" s="23" t="s">
        <v>270</v>
      </c>
      <c r="H48" s="32" t="str">
        <f>RIGHT(Table1[[#This Row],[Location]],2)</f>
        <v>KS</v>
      </c>
      <c r="I48" s="25">
        <v>41292</v>
      </c>
      <c r="J48" s="25">
        <v>41322</v>
      </c>
      <c r="K48" s="37">
        <v>4650</v>
      </c>
      <c r="L48" s="37">
        <v>3000</v>
      </c>
      <c r="M48" s="40">
        <v>93</v>
      </c>
      <c r="N48" s="40">
        <v>3471</v>
      </c>
      <c r="O48" s="26">
        <v>5</v>
      </c>
      <c r="P48" s="26">
        <v>15</v>
      </c>
      <c r="Q48" s="26">
        <v>30</v>
      </c>
      <c r="R48" s="27">
        <v>50</v>
      </c>
      <c r="S48" s="37">
        <v>100</v>
      </c>
      <c r="T48" s="37">
        <v>500</v>
      </c>
      <c r="U48" s="37"/>
      <c r="V48" s="37"/>
      <c r="W48" s="37"/>
      <c r="X48" s="37"/>
      <c r="Y48" s="37"/>
      <c r="Z48" s="37"/>
      <c r="AA48" s="36"/>
      <c r="AC48" s="36"/>
      <c r="AE48" s="36"/>
      <c r="AG48" s="36"/>
      <c r="AI48" s="36"/>
      <c r="AK48" s="36"/>
      <c r="AM48" s="36"/>
      <c r="AO48" s="36"/>
      <c r="AQ48" s="36"/>
      <c r="AS48" s="36"/>
      <c r="AU48" s="36"/>
      <c r="AW48" s="36"/>
      <c r="AY48" s="24">
        <v>1</v>
      </c>
      <c r="AZ48" s="24">
        <v>35</v>
      </c>
      <c r="BA48" s="24">
        <v>20</v>
      </c>
      <c r="BB48" s="28">
        <v>22</v>
      </c>
      <c r="BC48" s="23">
        <v>13</v>
      </c>
      <c r="BD48" s="23">
        <v>2</v>
      </c>
      <c r="BE48" s="23"/>
      <c r="BF48" s="23"/>
      <c r="BG48" s="23"/>
      <c r="BH48" s="23"/>
      <c r="BI48" s="23"/>
      <c r="BJ48" s="23"/>
      <c r="CI4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8">
        <f>COUNTA(Table1[[#This Row],[Reward Level 1]:[Reward Level 36]])</f>
        <v>6</v>
      </c>
      <c r="CK48">
        <f>COUNTIF(Table1[[#This Row],[Backers Level 1]:[Backers Level 36]],"&gt;0")</f>
        <v>6</v>
      </c>
      <c r="CL48" s="49">
        <f>Table1[[#This Row],[Pledge]]/Table1[[#This Row],[Backers]]</f>
        <v>50</v>
      </c>
      <c r="CM48" s="32" t="str">
        <f>IF(Table1[[#This Row],[Pledge]]=Table1[[#This Row],[Pledge Count]],"OK!","N!")</f>
        <v>N!</v>
      </c>
      <c r="CN4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4530</v>
      </c>
      <c r="CO48" s="53">
        <f>Table1[[#This Row],[Pledge]]-Table1[[#This Row],[Pledge Count]]</f>
        <v>120</v>
      </c>
      <c r="CP48" s="32" t="str">
        <f>IF(Table1[[#This Row],[Backers]]=Table1[[#This Row],[Backers Count]],"OK!","N!")</f>
        <v>OK!</v>
      </c>
      <c r="CQ48" s="32">
        <f>SUM(Table1[[#This Row],[Backers Level 1]:[Backers Level 36]])</f>
        <v>93</v>
      </c>
      <c r="CR48" s="32">
        <f>Table1[[#This Row],[Backers]]-Table1[[#This Row],[Backers Count]]</f>
        <v>0</v>
      </c>
      <c r="CS4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4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4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35</v>
      </c>
      <c r="CV4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42</v>
      </c>
      <c r="CW4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13</v>
      </c>
      <c r="CX4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4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8"/>
      <c r="DE48"/>
      <c r="DG48"/>
      <c r="DI48"/>
      <c r="DK48"/>
      <c r="DM48"/>
      <c r="DO48"/>
      <c r="DQ48"/>
      <c r="DS48"/>
      <c r="DT48"/>
    </row>
    <row r="49" spans="1:124">
      <c r="A49" s="22" t="s">
        <v>236</v>
      </c>
      <c r="B49" s="14">
        <v>41332</v>
      </c>
      <c r="C49" s="23" t="s">
        <v>271</v>
      </c>
      <c r="D49" s="23" t="s">
        <v>272</v>
      </c>
      <c r="E49" s="24" t="s">
        <v>273</v>
      </c>
      <c r="F49" s="23" t="s">
        <v>51</v>
      </c>
      <c r="G49" s="23" t="s">
        <v>274</v>
      </c>
      <c r="H49" s="32" t="str">
        <f>RIGHT(Table1[[#This Row],[Location]],2)</f>
        <v>CA</v>
      </c>
      <c r="I49" s="25">
        <v>41292</v>
      </c>
      <c r="J49" s="25">
        <v>41322</v>
      </c>
      <c r="K49" s="37">
        <v>2319</v>
      </c>
      <c r="L49" s="37">
        <v>2000</v>
      </c>
      <c r="M49" s="40">
        <v>36</v>
      </c>
      <c r="N49" s="40">
        <v>1904</v>
      </c>
      <c r="O49" s="26">
        <v>5</v>
      </c>
      <c r="P49" s="26">
        <v>10</v>
      </c>
      <c r="Q49" s="26">
        <v>15</v>
      </c>
      <c r="R49" s="27">
        <v>20</v>
      </c>
      <c r="S49" s="37">
        <v>30</v>
      </c>
      <c r="T49" s="37">
        <v>50</v>
      </c>
      <c r="U49" s="37">
        <v>60</v>
      </c>
      <c r="V49" s="37">
        <v>100</v>
      </c>
      <c r="W49" s="37">
        <v>150</v>
      </c>
      <c r="X49" s="37">
        <v>300</v>
      </c>
      <c r="Y49" s="37">
        <v>500</v>
      </c>
      <c r="Z49" s="37"/>
      <c r="AA49" s="36"/>
      <c r="AC49" s="36"/>
      <c r="AE49" s="36"/>
      <c r="AG49" s="36"/>
      <c r="AI49" s="36"/>
      <c r="AK49" s="36"/>
      <c r="AM49" s="36"/>
      <c r="AO49" s="36"/>
      <c r="AQ49" s="36"/>
      <c r="AS49" s="36"/>
      <c r="AU49" s="36"/>
      <c r="AW49" s="36"/>
      <c r="AY49" s="24">
        <v>1</v>
      </c>
      <c r="AZ49" s="24">
        <v>3</v>
      </c>
      <c r="BA49" s="24">
        <v>9</v>
      </c>
      <c r="BB49" s="28">
        <v>6</v>
      </c>
      <c r="BC49" s="23">
        <v>2</v>
      </c>
      <c r="BD49" s="23">
        <v>4</v>
      </c>
      <c r="BE49" s="23">
        <v>7</v>
      </c>
      <c r="BF49" s="23">
        <v>0</v>
      </c>
      <c r="BG49" s="23">
        <v>0</v>
      </c>
      <c r="BH49" s="23">
        <v>1</v>
      </c>
      <c r="BI49" s="23">
        <v>1</v>
      </c>
      <c r="BJ49" s="23"/>
      <c r="CI4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49">
        <f>COUNTA(Table1[[#This Row],[Reward Level 1]:[Reward Level 36]])</f>
        <v>11</v>
      </c>
      <c r="CK49">
        <f>COUNTIF(Table1[[#This Row],[Backers Level 1]:[Backers Level 36]],"&gt;0")</f>
        <v>9</v>
      </c>
      <c r="CL49" s="49">
        <f>Table1[[#This Row],[Pledge]]/Table1[[#This Row],[Backers]]</f>
        <v>64.416666666666671</v>
      </c>
      <c r="CM49" s="32" t="str">
        <f>IF(Table1[[#This Row],[Pledge]]=Table1[[#This Row],[Pledge Count]],"OK!","N!")</f>
        <v>N!</v>
      </c>
      <c r="CN4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1770</v>
      </c>
      <c r="CO49" s="53">
        <f>Table1[[#This Row],[Pledge]]-Table1[[#This Row],[Pledge Count]]</f>
        <v>549</v>
      </c>
      <c r="CP49" s="32" t="str">
        <f>IF(Table1[[#This Row],[Backers]]=Table1[[#This Row],[Backers Count]],"OK!","N!")</f>
        <v>N!</v>
      </c>
      <c r="CQ49" s="32">
        <f>SUM(Table1[[#This Row],[Backers Level 1]:[Backers Level 36]])</f>
        <v>34</v>
      </c>
      <c r="CR49" s="32">
        <f>Table1[[#This Row],[Backers]]-Table1[[#This Row],[Backers Count]]</f>
        <v>2</v>
      </c>
      <c r="CS4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4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</v>
      </c>
      <c r="CU4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15</v>
      </c>
      <c r="CV4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4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</v>
      </c>
      <c r="CX4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4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4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4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4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49"/>
      <c r="DE49"/>
      <c r="DG49"/>
      <c r="DI49"/>
      <c r="DK49"/>
      <c r="DM49"/>
      <c r="DO49"/>
      <c r="DQ49"/>
      <c r="DS49"/>
      <c r="DT49"/>
    </row>
    <row r="50" spans="1:124">
      <c r="A50" s="22" t="s">
        <v>237</v>
      </c>
      <c r="B50" s="14">
        <v>41332</v>
      </c>
      <c r="C50" s="23" t="s">
        <v>275</v>
      </c>
      <c r="D50" s="23" t="s">
        <v>276</v>
      </c>
      <c r="E50" s="24" t="s">
        <v>277</v>
      </c>
      <c r="F50" s="23" t="s">
        <v>74</v>
      </c>
      <c r="G50" s="23" t="s">
        <v>206</v>
      </c>
      <c r="H50" s="32" t="str">
        <f>RIGHT(Table1[[#This Row],[Location]],2)</f>
        <v>CA</v>
      </c>
      <c r="I50" s="25">
        <v>41292</v>
      </c>
      <c r="J50" s="25">
        <v>41322</v>
      </c>
      <c r="K50" s="37">
        <v>3015</v>
      </c>
      <c r="L50" s="37">
        <v>1000</v>
      </c>
      <c r="M50" s="40">
        <v>104</v>
      </c>
      <c r="N50" s="40"/>
      <c r="O50" s="26">
        <v>1</v>
      </c>
      <c r="P50" s="26">
        <v>2</v>
      </c>
      <c r="Q50" s="26">
        <v>5</v>
      </c>
      <c r="R50" s="27">
        <v>10</v>
      </c>
      <c r="S50" s="37">
        <v>20</v>
      </c>
      <c r="T50" s="37">
        <v>50</v>
      </c>
      <c r="U50" s="37">
        <v>100</v>
      </c>
      <c r="V50" s="37">
        <v>500</v>
      </c>
      <c r="W50" s="37"/>
      <c r="X50" s="37"/>
      <c r="Y50" s="37"/>
      <c r="Z50" s="37"/>
      <c r="AA50" s="36"/>
      <c r="AC50" s="36"/>
      <c r="AE50" s="36"/>
      <c r="AG50" s="36"/>
      <c r="AI50" s="36"/>
      <c r="AK50" s="36"/>
      <c r="AM50" s="36"/>
      <c r="AO50" s="36"/>
      <c r="AQ50" s="36"/>
      <c r="AS50" s="36"/>
      <c r="AU50" s="36"/>
      <c r="AW50" s="36"/>
      <c r="AY50" s="24">
        <v>3</v>
      </c>
      <c r="AZ50" s="24">
        <v>2</v>
      </c>
      <c r="BA50" s="24">
        <v>31</v>
      </c>
      <c r="BB50" s="28">
        <v>15</v>
      </c>
      <c r="BC50" s="23">
        <v>36</v>
      </c>
      <c r="BD50" s="23">
        <v>3</v>
      </c>
      <c r="BE50" s="23">
        <v>10</v>
      </c>
      <c r="BF50" s="23">
        <v>1</v>
      </c>
      <c r="BG50" s="23"/>
      <c r="BH50" s="23"/>
      <c r="BI50" s="23"/>
      <c r="BJ50" s="23"/>
      <c r="CI5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0">
        <f>COUNTA(Table1[[#This Row],[Reward Level 1]:[Reward Level 36]])</f>
        <v>8</v>
      </c>
      <c r="CK50">
        <f>COUNTIF(Table1[[#This Row],[Backers Level 1]:[Backers Level 36]],"&gt;0")</f>
        <v>8</v>
      </c>
      <c r="CL50" s="49">
        <f>Table1[[#This Row],[Pledge]]/Table1[[#This Row],[Backers]]</f>
        <v>28.990384615384617</v>
      </c>
      <c r="CM50" s="32" t="str">
        <f>IF(Table1[[#This Row],[Pledge]]=Table1[[#This Row],[Pledge Count]],"OK!","N!")</f>
        <v>N!</v>
      </c>
      <c r="CN5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2682</v>
      </c>
      <c r="CO50" s="53">
        <f>Table1[[#This Row],[Pledge]]-Table1[[#This Row],[Pledge Count]]</f>
        <v>333</v>
      </c>
      <c r="CP50" s="32" t="str">
        <f>IF(Table1[[#This Row],[Backers]]=Table1[[#This Row],[Backers Count]],"OK!","N!")</f>
        <v>N!</v>
      </c>
      <c r="CQ50" s="32">
        <f>SUM(Table1[[#This Row],[Backers Level 1]:[Backers Level 36]])</f>
        <v>101</v>
      </c>
      <c r="CR50" s="32">
        <f>Table1[[#This Row],[Backers]]-Table1[[#This Row],[Backers Count]]</f>
        <v>3</v>
      </c>
      <c r="CS5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36</v>
      </c>
      <c r="CT5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15</v>
      </c>
      <c r="CU5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36</v>
      </c>
      <c r="CV5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5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10</v>
      </c>
      <c r="CX5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5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0"/>
      <c r="DE50"/>
      <c r="DG50"/>
      <c r="DI50"/>
      <c r="DK50"/>
      <c r="DM50"/>
      <c r="DO50"/>
      <c r="DQ50"/>
      <c r="DS50"/>
      <c r="DT50"/>
    </row>
    <row r="51" spans="1:124">
      <c r="A51" s="22" t="s">
        <v>238</v>
      </c>
      <c r="B51" s="14">
        <v>41333</v>
      </c>
      <c r="C51" s="23" t="s">
        <v>288</v>
      </c>
      <c r="D51" s="23" t="s">
        <v>289</v>
      </c>
      <c r="E51" s="24" t="s">
        <v>290</v>
      </c>
      <c r="F51" s="23" t="s">
        <v>87</v>
      </c>
      <c r="G51" s="23" t="s">
        <v>61</v>
      </c>
      <c r="H51" s="32" t="str">
        <f>RIGHT(Table1[[#This Row],[Location]],2)</f>
        <v>CO</v>
      </c>
      <c r="I51" s="25">
        <v>41292</v>
      </c>
      <c r="J51" s="25">
        <v>41322</v>
      </c>
      <c r="K51" s="37">
        <v>3355</v>
      </c>
      <c r="L51" s="37">
        <v>3000</v>
      </c>
      <c r="M51" s="40">
        <v>64</v>
      </c>
      <c r="N51" s="40">
        <v>441</v>
      </c>
      <c r="O51" s="26">
        <v>15</v>
      </c>
      <c r="P51" s="26">
        <v>30</v>
      </c>
      <c r="Q51" s="26">
        <v>40</v>
      </c>
      <c r="R51" s="27">
        <v>100</v>
      </c>
      <c r="S51" s="37"/>
      <c r="T51" s="37"/>
      <c r="U51" s="37"/>
      <c r="V51" s="37"/>
      <c r="W51" s="37"/>
      <c r="X51" s="37"/>
      <c r="Y51" s="37"/>
      <c r="Z51" s="37"/>
      <c r="AA51" s="36"/>
      <c r="AC51" s="36"/>
      <c r="AE51" s="36"/>
      <c r="AG51" s="36"/>
      <c r="AI51" s="36"/>
      <c r="AK51" s="36"/>
      <c r="AM51" s="36"/>
      <c r="AO51" s="36"/>
      <c r="AQ51" s="36"/>
      <c r="AS51" s="36"/>
      <c r="AU51" s="36"/>
      <c r="AW51" s="36"/>
      <c r="AY51" s="24">
        <v>17</v>
      </c>
      <c r="AZ51" s="24">
        <v>12</v>
      </c>
      <c r="BA51" s="24">
        <v>18</v>
      </c>
      <c r="BB51" s="28">
        <v>1</v>
      </c>
      <c r="BC51" s="23"/>
      <c r="BD51" s="23"/>
      <c r="BE51" s="23"/>
      <c r="BF51" s="23"/>
      <c r="BG51" s="23"/>
      <c r="BH51" s="23"/>
      <c r="BI51" s="23"/>
      <c r="BJ51" s="23"/>
      <c r="CI5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1">
        <f>COUNTA(Table1[[#This Row],[Reward Level 1]:[Reward Level 36]])</f>
        <v>4</v>
      </c>
      <c r="CK51">
        <f>COUNTIF(Table1[[#This Row],[Backers Level 1]:[Backers Level 36]],"&gt;0")</f>
        <v>4</v>
      </c>
      <c r="CL51" s="49">
        <f>Table1[[#This Row],[Pledge]]/Table1[[#This Row],[Backers]]</f>
        <v>52.421875</v>
      </c>
      <c r="CM51" s="32" t="str">
        <f>IF(Table1[[#This Row],[Pledge]]=Table1[[#This Row],[Pledge Count]],"OK!","N!")</f>
        <v>N!</v>
      </c>
      <c r="CN5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1435</v>
      </c>
      <c r="CO51" s="53">
        <f>Table1[[#This Row],[Pledge]]-Table1[[#This Row],[Pledge Count]]</f>
        <v>1920</v>
      </c>
      <c r="CP51" s="32" t="str">
        <f>IF(Table1[[#This Row],[Backers]]=Table1[[#This Row],[Backers Count]],"OK!","N!")</f>
        <v>N!</v>
      </c>
      <c r="CQ51" s="32">
        <f>SUM(Table1[[#This Row],[Backers Level 1]:[Backers Level 36]])</f>
        <v>48</v>
      </c>
      <c r="CR51" s="32">
        <f>Table1[[#This Row],[Backers]]-Table1[[#This Row],[Backers Count]]</f>
        <v>16</v>
      </c>
      <c r="CS5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5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5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17</v>
      </c>
      <c r="CV5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30</v>
      </c>
      <c r="CW5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5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1"/>
      <c r="DE51"/>
      <c r="DG51"/>
      <c r="DI51"/>
      <c r="DK51"/>
      <c r="DM51"/>
      <c r="DO51"/>
      <c r="DQ51"/>
      <c r="DS51"/>
      <c r="DT51"/>
    </row>
    <row r="52" spans="1:124">
      <c r="A52" s="22" t="s">
        <v>278</v>
      </c>
      <c r="B52" s="14">
        <v>41333</v>
      </c>
      <c r="C52" s="23" t="s">
        <v>291</v>
      </c>
      <c r="D52" s="23" t="s">
        <v>292</v>
      </c>
      <c r="E52" s="24" t="s">
        <v>293</v>
      </c>
      <c r="F52" s="23" t="s">
        <v>11</v>
      </c>
      <c r="G52" s="23" t="s">
        <v>294</v>
      </c>
      <c r="H52" s="32" t="str">
        <f>RIGHT(Table1[[#This Row],[Location]],2)</f>
        <v>PA</v>
      </c>
      <c r="I52" s="25">
        <v>41292</v>
      </c>
      <c r="J52" s="25">
        <v>41322</v>
      </c>
      <c r="K52" s="37">
        <v>6127</v>
      </c>
      <c r="L52" s="37">
        <v>6000</v>
      </c>
      <c r="M52" s="40">
        <v>97</v>
      </c>
      <c r="N52" s="40">
        <v>340</v>
      </c>
      <c r="O52" s="26">
        <v>1</v>
      </c>
      <c r="P52" s="26">
        <v>10</v>
      </c>
      <c r="Q52" s="26">
        <v>15</v>
      </c>
      <c r="R52" s="27">
        <v>25</v>
      </c>
      <c r="S52" s="37">
        <v>40</v>
      </c>
      <c r="T52" s="37">
        <v>55</v>
      </c>
      <c r="U52" s="37">
        <v>75</v>
      </c>
      <c r="V52" s="37">
        <v>100</v>
      </c>
      <c r="W52" s="37">
        <v>150</v>
      </c>
      <c r="X52" s="37">
        <v>250</v>
      </c>
      <c r="Y52" s="37">
        <v>500</v>
      </c>
      <c r="Z52" s="37">
        <v>1000</v>
      </c>
      <c r="AA52" s="36"/>
      <c r="AC52" s="36"/>
      <c r="AE52" s="36"/>
      <c r="AG52" s="36"/>
      <c r="AI52" s="36"/>
      <c r="AK52" s="36"/>
      <c r="AM52" s="36"/>
      <c r="AO52" s="36"/>
      <c r="AQ52" s="36"/>
      <c r="AS52" s="36"/>
      <c r="AU52" s="36"/>
      <c r="AW52" s="36"/>
      <c r="AY52" s="24">
        <v>3</v>
      </c>
      <c r="AZ52" s="24">
        <v>17</v>
      </c>
      <c r="BA52" s="24">
        <v>13</v>
      </c>
      <c r="BB52" s="28">
        <v>16</v>
      </c>
      <c r="BC52" s="23">
        <v>6</v>
      </c>
      <c r="BD52" s="23">
        <v>14</v>
      </c>
      <c r="BE52" s="23">
        <v>5</v>
      </c>
      <c r="BF52" s="23">
        <v>14</v>
      </c>
      <c r="BG52" s="23">
        <v>2</v>
      </c>
      <c r="BH52" s="23">
        <v>1</v>
      </c>
      <c r="BI52" s="23">
        <v>1</v>
      </c>
      <c r="BJ52" s="23">
        <v>1</v>
      </c>
      <c r="CI5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2">
        <f>COUNTA(Table1[[#This Row],[Reward Level 1]:[Reward Level 36]])</f>
        <v>12</v>
      </c>
      <c r="CK52">
        <f>COUNTIF(Table1[[#This Row],[Backers Level 1]:[Backers Level 36]],"&gt;0")</f>
        <v>12</v>
      </c>
      <c r="CL52" s="49">
        <f>Table1[[#This Row],[Pledge]]/Table1[[#This Row],[Backers]]</f>
        <v>63.164948453608247</v>
      </c>
      <c r="CM52" s="32" t="str">
        <f>IF(Table1[[#This Row],[Pledge]]=Table1[[#This Row],[Pledge Count]],"OK!","N!")</f>
        <v>N!</v>
      </c>
      <c r="CN5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5603</v>
      </c>
      <c r="CO52" s="53">
        <f>Table1[[#This Row],[Pledge]]-Table1[[#This Row],[Pledge Count]]</f>
        <v>524</v>
      </c>
      <c r="CP52" s="32" t="str">
        <f>IF(Table1[[#This Row],[Backers]]=Table1[[#This Row],[Backers Count]],"OK!","N!")</f>
        <v>N!</v>
      </c>
      <c r="CQ52" s="32">
        <f>SUM(Table1[[#This Row],[Backers Level 1]:[Backers Level 36]])</f>
        <v>93</v>
      </c>
      <c r="CR52" s="32">
        <f>Table1[[#This Row],[Backers]]-Table1[[#This Row],[Backers Count]]</f>
        <v>4</v>
      </c>
      <c r="CS5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5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17</v>
      </c>
      <c r="CU5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29</v>
      </c>
      <c r="CV5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5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33</v>
      </c>
      <c r="CX5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5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5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5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2"/>
      <c r="DE52"/>
      <c r="DG52"/>
      <c r="DI52"/>
      <c r="DK52"/>
      <c r="DM52"/>
      <c r="DO52"/>
      <c r="DQ52"/>
      <c r="DS52"/>
      <c r="DT52"/>
    </row>
    <row r="53" spans="1:124">
      <c r="A53" s="22" t="s">
        <v>279</v>
      </c>
      <c r="B53" s="14">
        <v>41333</v>
      </c>
      <c r="C53" s="23" t="s">
        <v>296</v>
      </c>
      <c r="D53" s="23" t="s">
        <v>297</v>
      </c>
      <c r="E53" s="24" t="s">
        <v>295</v>
      </c>
      <c r="F53" s="23" t="s">
        <v>87</v>
      </c>
      <c r="G53" s="23" t="s">
        <v>298</v>
      </c>
      <c r="H53" s="32" t="str">
        <f>RIGHT(Table1[[#This Row],[Location]],2)</f>
        <v>WA</v>
      </c>
      <c r="I53" s="25">
        <v>41292</v>
      </c>
      <c r="J53" s="25">
        <v>41322</v>
      </c>
      <c r="K53" s="37">
        <v>2002</v>
      </c>
      <c r="L53" s="37">
        <v>1600</v>
      </c>
      <c r="M53" s="40">
        <v>31</v>
      </c>
      <c r="N53" s="40">
        <v>183</v>
      </c>
      <c r="O53" s="26">
        <v>10</v>
      </c>
      <c r="P53" s="26">
        <v>15</v>
      </c>
      <c r="Q53" s="26">
        <v>20</v>
      </c>
      <c r="R53" s="27">
        <v>25</v>
      </c>
      <c r="S53" s="37">
        <v>30</v>
      </c>
      <c r="T53" s="37">
        <v>30</v>
      </c>
      <c r="U53" s="37">
        <v>35</v>
      </c>
      <c r="V53" s="37">
        <v>40</v>
      </c>
      <c r="W53" s="37">
        <v>50</v>
      </c>
      <c r="X53" s="37">
        <v>60</v>
      </c>
      <c r="Y53" s="37">
        <v>100</v>
      </c>
      <c r="Z53" s="37">
        <v>145</v>
      </c>
      <c r="AA53" s="36">
        <v>250</v>
      </c>
      <c r="AC53" s="36"/>
      <c r="AE53" s="36"/>
      <c r="AG53" s="36"/>
      <c r="AI53" s="36"/>
      <c r="AK53" s="36"/>
      <c r="AM53" s="36"/>
      <c r="AO53" s="36"/>
      <c r="AQ53" s="36"/>
      <c r="AS53" s="36"/>
      <c r="AU53" s="36"/>
      <c r="AW53" s="36"/>
      <c r="AY53" s="24">
        <v>4</v>
      </c>
      <c r="AZ53" s="24">
        <v>3</v>
      </c>
      <c r="BA53" s="24">
        <v>9</v>
      </c>
      <c r="BB53" s="28">
        <v>0</v>
      </c>
      <c r="BC53" s="23">
        <v>4</v>
      </c>
      <c r="BD53" s="23">
        <v>1</v>
      </c>
      <c r="BE53" s="23">
        <v>0</v>
      </c>
      <c r="BF53" s="23">
        <v>1</v>
      </c>
      <c r="BG53" s="23">
        <v>3</v>
      </c>
      <c r="BH53" s="23">
        <v>0</v>
      </c>
      <c r="BI53" s="23">
        <v>1</v>
      </c>
      <c r="BJ53" s="23">
        <v>0</v>
      </c>
      <c r="BK53">
        <v>3</v>
      </c>
      <c r="CI5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3">
        <f>COUNTA(Table1[[#This Row],[Reward Level 1]:[Reward Level 36]])</f>
        <v>13</v>
      </c>
      <c r="CK53">
        <f>COUNTIF(Table1[[#This Row],[Backers Level 1]:[Backers Level 36]],"&gt;0")</f>
        <v>9</v>
      </c>
      <c r="CL53" s="49">
        <f>Table1[[#This Row],[Pledge]]/Table1[[#This Row],[Backers]]</f>
        <v>64.58064516129032</v>
      </c>
      <c r="CM53" s="32" t="str">
        <f>IF(Table1[[#This Row],[Pledge]]=Table1[[#This Row],[Pledge Count]],"OK!","N!")</f>
        <v>N!</v>
      </c>
      <c r="CN5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705</v>
      </c>
      <c r="CO53" s="53">
        <f>Table1[[#This Row],[Pledge]]-Table1[[#This Row],[Pledge Count]]</f>
        <v>1297</v>
      </c>
      <c r="CP53" s="32" t="str">
        <f>IF(Table1[[#This Row],[Backers]]=Table1[[#This Row],[Backers Count]],"OK!","N!")</f>
        <v>N!</v>
      </c>
      <c r="CQ53" s="32">
        <f>SUM(Table1[[#This Row],[Backers Level 1]:[Backers Level 36]])</f>
        <v>29</v>
      </c>
      <c r="CR53" s="32">
        <f>Table1[[#This Row],[Backers]]-Table1[[#This Row],[Backers Count]]</f>
        <v>2</v>
      </c>
      <c r="CS5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5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5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12</v>
      </c>
      <c r="CV5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5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5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5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3"/>
      <c r="DE53"/>
      <c r="DG53"/>
      <c r="DI53"/>
      <c r="DK53"/>
      <c r="DM53"/>
      <c r="DO53"/>
      <c r="DQ53"/>
      <c r="DS53"/>
      <c r="DT53"/>
    </row>
    <row r="54" spans="1:124">
      <c r="A54" s="22" t="s">
        <v>280</v>
      </c>
      <c r="B54" s="14">
        <v>41333</v>
      </c>
      <c r="C54" s="23" t="s">
        <v>299</v>
      </c>
      <c r="D54" s="23" t="s">
        <v>300</v>
      </c>
      <c r="E54" s="24" t="s">
        <v>301</v>
      </c>
      <c r="F54" s="23" t="s">
        <v>51</v>
      </c>
      <c r="G54" s="23" t="s">
        <v>302</v>
      </c>
      <c r="H54" s="32" t="str">
        <f>RIGHT(Table1[[#This Row],[Location]],2)</f>
        <v>AZ</v>
      </c>
      <c r="I54" s="25">
        <v>41292</v>
      </c>
      <c r="J54" s="25">
        <v>41322</v>
      </c>
      <c r="K54" s="37">
        <v>5200</v>
      </c>
      <c r="L54" s="37">
        <v>5000</v>
      </c>
      <c r="M54" s="40">
        <v>70</v>
      </c>
      <c r="N54" s="40">
        <v>670</v>
      </c>
      <c r="O54" s="26">
        <v>10</v>
      </c>
      <c r="P54" s="26">
        <v>20</v>
      </c>
      <c r="Q54" s="26">
        <v>50</v>
      </c>
      <c r="R54" s="27">
        <v>75</v>
      </c>
      <c r="S54" s="37">
        <v>150</v>
      </c>
      <c r="T54" s="37">
        <v>500</v>
      </c>
      <c r="U54" s="37"/>
      <c r="V54" s="37"/>
      <c r="W54" s="37"/>
      <c r="X54" s="37"/>
      <c r="Y54" s="37"/>
      <c r="Z54" s="37"/>
      <c r="AA54" s="36"/>
      <c r="AC54" s="36"/>
      <c r="AE54" s="36"/>
      <c r="AG54" s="36"/>
      <c r="AI54" s="36"/>
      <c r="AK54" s="36"/>
      <c r="AM54" s="36"/>
      <c r="AO54" s="36"/>
      <c r="AQ54" s="36"/>
      <c r="AS54" s="36"/>
      <c r="AU54" s="36"/>
      <c r="AW54" s="36"/>
      <c r="AY54" s="24">
        <v>4</v>
      </c>
      <c r="AZ54" s="24">
        <v>26</v>
      </c>
      <c r="BA54" s="24">
        <v>15</v>
      </c>
      <c r="BB54" s="28">
        <v>10</v>
      </c>
      <c r="BC54" s="23">
        <v>1</v>
      </c>
      <c r="BD54" s="23">
        <v>2</v>
      </c>
      <c r="BE54" s="23"/>
      <c r="BF54" s="23"/>
      <c r="BG54" s="23"/>
      <c r="BH54" s="23"/>
      <c r="BI54" s="23"/>
      <c r="BJ54" s="23"/>
      <c r="CI5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4">
        <f>COUNTA(Table1[[#This Row],[Reward Level 1]:[Reward Level 36]])</f>
        <v>6</v>
      </c>
      <c r="CK54">
        <f>COUNTIF(Table1[[#This Row],[Backers Level 1]:[Backers Level 36]],"&gt;0")</f>
        <v>6</v>
      </c>
      <c r="CL54" s="49">
        <f>Table1[[#This Row],[Pledge]]/Table1[[#This Row],[Backers]]</f>
        <v>74.285714285714292</v>
      </c>
      <c r="CM54" s="32" t="str">
        <f>IF(Table1[[#This Row],[Pledge]]=Table1[[#This Row],[Pledge Count]],"OK!","N!")</f>
        <v>N!</v>
      </c>
      <c r="CN5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3210</v>
      </c>
      <c r="CO54" s="53">
        <f>Table1[[#This Row],[Pledge]]-Table1[[#This Row],[Pledge Count]]</f>
        <v>1990</v>
      </c>
      <c r="CP54" s="32" t="str">
        <f>IF(Table1[[#This Row],[Backers]]=Table1[[#This Row],[Backers Count]],"OK!","N!")</f>
        <v>N!</v>
      </c>
      <c r="CQ54" s="32">
        <f>SUM(Table1[[#This Row],[Backers Level 1]:[Backers Level 36]])</f>
        <v>58</v>
      </c>
      <c r="CR54" s="32">
        <f>Table1[[#This Row],[Backers]]-Table1[[#This Row],[Backers Count]]</f>
        <v>12</v>
      </c>
      <c r="CS5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5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5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26</v>
      </c>
      <c r="CV5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15</v>
      </c>
      <c r="CW5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10</v>
      </c>
      <c r="CX5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5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5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4"/>
      <c r="DE54"/>
      <c r="DG54"/>
      <c r="DI54"/>
      <c r="DK54"/>
      <c r="DM54"/>
      <c r="DO54"/>
      <c r="DQ54"/>
      <c r="DS54"/>
      <c r="DT54"/>
    </row>
    <row r="55" spans="1:124">
      <c r="A55" s="22" t="s">
        <v>281</v>
      </c>
      <c r="B55" s="14">
        <v>41333</v>
      </c>
      <c r="C55" s="23" t="s">
        <v>303</v>
      </c>
      <c r="D55" s="23" t="s">
        <v>304</v>
      </c>
      <c r="E55" s="24" t="s">
        <v>305</v>
      </c>
      <c r="F55" s="23" t="s">
        <v>87</v>
      </c>
      <c r="G55" s="23" t="s">
        <v>83</v>
      </c>
      <c r="H55" s="32" t="str">
        <f>RIGHT(Table1[[#This Row],[Location]],2)</f>
        <v>TN</v>
      </c>
      <c r="I55" s="25">
        <v>41308</v>
      </c>
      <c r="J55" s="25">
        <v>41322</v>
      </c>
      <c r="K55" s="37">
        <v>1165</v>
      </c>
      <c r="L55" s="37">
        <v>1000</v>
      </c>
      <c r="M55" s="40">
        <v>29</v>
      </c>
      <c r="N55" s="40">
        <v>2027</v>
      </c>
      <c r="O55" s="26">
        <v>10</v>
      </c>
      <c r="P55" s="26">
        <v>25</v>
      </c>
      <c r="Q55" s="26">
        <v>50</v>
      </c>
      <c r="R55" s="27"/>
      <c r="S55" s="37"/>
      <c r="T55" s="37"/>
      <c r="U55" s="37"/>
      <c r="V55" s="37"/>
      <c r="W55" s="37"/>
      <c r="X55" s="37"/>
      <c r="Y55" s="37"/>
      <c r="Z55" s="37"/>
      <c r="AA55" s="36"/>
      <c r="AC55" s="36"/>
      <c r="AE55" s="36"/>
      <c r="AG55" s="36"/>
      <c r="AI55" s="36"/>
      <c r="AK55" s="36"/>
      <c r="AM55" s="36"/>
      <c r="AO55" s="36"/>
      <c r="AQ55" s="36"/>
      <c r="AS55" s="36"/>
      <c r="AU55" s="36"/>
      <c r="AW55" s="36"/>
      <c r="AY55" s="24">
        <v>4</v>
      </c>
      <c r="AZ55" s="24">
        <v>16</v>
      </c>
      <c r="BA55" s="24">
        <v>6</v>
      </c>
      <c r="BB55" s="28"/>
      <c r="BC55" s="23"/>
      <c r="BD55" s="23"/>
      <c r="BE55" s="23"/>
      <c r="BF55" s="23"/>
      <c r="BG55" s="23"/>
      <c r="BH55" s="23"/>
      <c r="BI55" s="23"/>
      <c r="BJ55" s="23"/>
      <c r="CI5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5">
        <f>COUNTA(Table1[[#This Row],[Reward Level 1]:[Reward Level 36]])</f>
        <v>3</v>
      </c>
      <c r="CK55">
        <f>COUNTIF(Table1[[#This Row],[Backers Level 1]:[Backers Level 36]],"&gt;0")</f>
        <v>3</v>
      </c>
      <c r="CL55" s="49">
        <f>Table1[[#This Row],[Pledge]]/Table1[[#This Row],[Backers]]</f>
        <v>40.172413793103445</v>
      </c>
      <c r="CM55" s="32" t="str">
        <f>IF(Table1[[#This Row],[Pledge]]=Table1[[#This Row],[Pledge Count]],"OK!","N!")</f>
        <v>N!</v>
      </c>
      <c r="CN5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740</v>
      </c>
      <c r="CO55" s="53">
        <f>Table1[[#This Row],[Pledge]]-Table1[[#This Row],[Pledge Count]]</f>
        <v>425</v>
      </c>
      <c r="CP55" s="32" t="str">
        <f>IF(Table1[[#This Row],[Backers]]=Table1[[#This Row],[Backers Count]],"OK!","N!")</f>
        <v>N!</v>
      </c>
      <c r="CQ55" s="32">
        <f>SUM(Table1[[#This Row],[Backers Level 1]:[Backers Level 36]])</f>
        <v>26</v>
      </c>
      <c r="CR55" s="32">
        <f>Table1[[#This Row],[Backers]]-Table1[[#This Row],[Backers Count]]</f>
        <v>3</v>
      </c>
      <c r="CS5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5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5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16</v>
      </c>
      <c r="CV5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5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5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5"/>
      <c r="DE55"/>
      <c r="DG55"/>
      <c r="DI55"/>
      <c r="DK55"/>
      <c r="DM55"/>
      <c r="DO55"/>
      <c r="DQ55"/>
      <c r="DS55"/>
      <c r="DT55"/>
    </row>
    <row r="56" spans="1:124">
      <c r="A56" s="22" t="s">
        <v>282</v>
      </c>
      <c r="B56" s="14">
        <v>41333</v>
      </c>
      <c r="C56" s="23" t="s">
        <v>306</v>
      </c>
      <c r="D56" s="23" t="s">
        <v>307</v>
      </c>
      <c r="E56" s="24" t="s">
        <v>308</v>
      </c>
      <c r="F56" s="23" t="s">
        <v>51</v>
      </c>
      <c r="G56" s="23" t="s">
        <v>206</v>
      </c>
      <c r="H56" s="32" t="str">
        <f>RIGHT(Table1[[#This Row],[Location]],2)</f>
        <v>CA</v>
      </c>
      <c r="I56" s="25">
        <v>41305</v>
      </c>
      <c r="J56" s="25">
        <v>41322</v>
      </c>
      <c r="K56" s="37">
        <v>10017</v>
      </c>
      <c r="L56" s="37">
        <v>5000</v>
      </c>
      <c r="M56" s="40">
        <v>55</v>
      </c>
      <c r="N56" s="40"/>
      <c r="O56" s="26">
        <v>5</v>
      </c>
      <c r="P56" s="26">
        <v>10</v>
      </c>
      <c r="Q56" s="26">
        <v>25</v>
      </c>
      <c r="R56" s="27">
        <v>50</v>
      </c>
      <c r="S56" s="37">
        <v>75</v>
      </c>
      <c r="T56" s="37">
        <v>75</v>
      </c>
      <c r="U56" s="37">
        <v>100</v>
      </c>
      <c r="V56" s="37">
        <v>100</v>
      </c>
      <c r="W56" s="37">
        <v>150</v>
      </c>
      <c r="X56" s="37">
        <v>150</v>
      </c>
      <c r="Y56" s="37">
        <v>200</v>
      </c>
      <c r="Z56" s="37">
        <v>250</v>
      </c>
      <c r="AA56" s="36">
        <v>400</v>
      </c>
      <c r="AB56" s="36">
        <v>400</v>
      </c>
      <c r="AC56" s="36">
        <v>500</v>
      </c>
      <c r="AD56" s="36">
        <v>500</v>
      </c>
      <c r="AE56" s="36">
        <v>600</v>
      </c>
      <c r="AF56" s="36">
        <v>5000</v>
      </c>
      <c r="AG56" s="36"/>
      <c r="AI56" s="36"/>
      <c r="AK56" s="36"/>
      <c r="AM56" s="36"/>
      <c r="AO56" s="36"/>
      <c r="AQ56" s="36"/>
      <c r="AS56" s="36"/>
      <c r="AU56" s="36"/>
      <c r="AW56" s="36"/>
      <c r="AY56" s="24">
        <v>5</v>
      </c>
      <c r="AZ56" s="24">
        <v>10</v>
      </c>
      <c r="BA56" s="24">
        <v>14</v>
      </c>
      <c r="BB56" s="28">
        <v>9</v>
      </c>
      <c r="BC56" s="23">
        <v>3</v>
      </c>
      <c r="BD56" s="23">
        <v>1</v>
      </c>
      <c r="BE56" s="23">
        <v>1</v>
      </c>
      <c r="BF56" s="23">
        <v>0</v>
      </c>
      <c r="BG56" s="23">
        <v>0</v>
      </c>
      <c r="BH56" s="23">
        <v>1</v>
      </c>
      <c r="BI56" s="23">
        <v>0</v>
      </c>
      <c r="BJ56" s="23">
        <v>3</v>
      </c>
      <c r="BK56">
        <v>0</v>
      </c>
      <c r="BL56">
        <v>0</v>
      </c>
      <c r="BM56">
        <v>3</v>
      </c>
      <c r="BN56">
        <v>1</v>
      </c>
      <c r="BO56">
        <v>1</v>
      </c>
      <c r="BP56">
        <v>1</v>
      </c>
      <c r="CI5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56">
        <f>COUNTA(Table1[[#This Row],[Reward Level 1]:[Reward Level 36]])</f>
        <v>18</v>
      </c>
      <c r="CK56">
        <f>COUNTIF(Table1[[#This Row],[Backers Level 1]:[Backers Level 36]],"&gt;0")</f>
        <v>13</v>
      </c>
      <c r="CL56" s="49">
        <f>Table1[[#This Row],[Pledge]]/Table1[[#This Row],[Backers]]</f>
        <v>182.12727272727273</v>
      </c>
      <c r="CM56" s="32" t="str">
        <f>IF(Table1[[#This Row],[Pledge]]=Table1[[#This Row],[Pledge Count]],"OK!","N!")</f>
        <v>N!</v>
      </c>
      <c r="CN5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2225</v>
      </c>
      <c r="CO56" s="53">
        <f>Table1[[#This Row],[Pledge]]-Table1[[#This Row],[Pledge Count]]</f>
        <v>7792</v>
      </c>
      <c r="CP56" s="32" t="str">
        <f>IF(Table1[[#This Row],[Backers]]=Table1[[#This Row],[Backers Count]],"OK!","N!")</f>
        <v>N!</v>
      </c>
      <c r="CQ56" s="32">
        <f>SUM(Table1[[#This Row],[Backers Level 1]:[Backers Level 36]])</f>
        <v>53</v>
      </c>
      <c r="CR56" s="32">
        <f>Table1[[#This Row],[Backers]]-Table1[[#This Row],[Backers Count]]</f>
        <v>2</v>
      </c>
      <c r="CS5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5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10</v>
      </c>
      <c r="CU5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5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5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5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5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4</v>
      </c>
      <c r="CZ5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5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1</v>
      </c>
      <c r="DC56"/>
      <c r="DE56"/>
      <c r="DG56"/>
      <c r="DI56"/>
      <c r="DK56"/>
      <c r="DM56"/>
      <c r="DO56"/>
      <c r="DQ56"/>
      <c r="DS56"/>
      <c r="DT56"/>
    </row>
    <row r="57" spans="1:124">
      <c r="A57" s="22" t="s">
        <v>283</v>
      </c>
      <c r="B57" s="14">
        <v>41333</v>
      </c>
      <c r="C57" s="23" t="s">
        <v>309</v>
      </c>
      <c r="D57" s="23" t="s">
        <v>310</v>
      </c>
      <c r="E57" s="24" t="s">
        <v>311</v>
      </c>
      <c r="F57" s="23" t="s">
        <v>65</v>
      </c>
      <c r="G57" s="23" t="s">
        <v>312</v>
      </c>
      <c r="H57" s="32" t="str">
        <f>RIGHT(Table1[[#This Row],[Location]],2)</f>
        <v>FL</v>
      </c>
      <c r="I57" s="25">
        <v>41297</v>
      </c>
      <c r="J57" s="25">
        <v>41322</v>
      </c>
      <c r="K57" s="37">
        <v>15020</v>
      </c>
      <c r="L57" s="37">
        <v>15000</v>
      </c>
      <c r="M57" s="40">
        <v>61</v>
      </c>
      <c r="N57" s="40"/>
      <c r="O57" s="26">
        <v>5</v>
      </c>
      <c r="P57" s="26">
        <v>10</v>
      </c>
      <c r="Q57" s="26">
        <v>20</v>
      </c>
      <c r="R57" s="27">
        <v>30</v>
      </c>
      <c r="S57" s="37">
        <v>50</v>
      </c>
      <c r="T57" s="37">
        <v>100</v>
      </c>
      <c r="U57" s="37">
        <v>200</v>
      </c>
      <c r="V57" s="37">
        <v>300</v>
      </c>
      <c r="W57" s="37">
        <v>500</v>
      </c>
      <c r="X57" s="37">
        <v>1000</v>
      </c>
      <c r="Y57" s="37">
        <v>5000</v>
      </c>
      <c r="Z57" s="37">
        <v>10000</v>
      </c>
      <c r="AA57" s="36"/>
      <c r="AC57" s="36"/>
      <c r="AE57" s="36"/>
      <c r="AG57" s="36"/>
      <c r="AI57" s="36"/>
      <c r="AK57" s="36"/>
      <c r="AM57" s="36"/>
      <c r="AO57" s="36"/>
      <c r="AQ57" s="36"/>
      <c r="AS57" s="36"/>
      <c r="AU57" s="36"/>
      <c r="AW57" s="36"/>
      <c r="AY57" s="24">
        <v>1</v>
      </c>
      <c r="AZ57" s="24">
        <v>5</v>
      </c>
      <c r="BA57" s="24">
        <v>8</v>
      </c>
      <c r="BB57" s="28">
        <v>8</v>
      </c>
      <c r="BC57" s="23">
        <v>8</v>
      </c>
      <c r="BD57" s="23">
        <v>6</v>
      </c>
      <c r="BE57" s="23">
        <v>3</v>
      </c>
      <c r="BF57" s="23">
        <v>5</v>
      </c>
      <c r="BG57" s="23">
        <v>2</v>
      </c>
      <c r="BH57" s="23">
        <v>0</v>
      </c>
      <c r="BI57" s="23">
        <v>0</v>
      </c>
      <c r="BJ57" s="23">
        <v>0</v>
      </c>
      <c r="CI5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57">
        <f>COUNTA(Table1[[#This Row],[Reward Level 1]:[Reward Level 36]])</f>
        <v>12</v>
      </c>
      <c r="CK57">
        <f>COUNTIF(Table1[[#This Row],[Backers Level 1]:[Backers Level 36]],"&gt;0")</f>
        <v>9</v>
      </c>
      <c r="CL57" s="49">
        <f>Table1[[#This Row],[Pledge]]/Table1[[#This Row],[Backers]]</f>
        <v>246.2295081967213</v>
      </c>
      <c r="CM57" s="32" t="str">
        <f>IF(Table1[[#This Row],[Pledge]]=Table1[[#This Row],[Pledge Count]],"OK!","N!")</f>
        <v>N!</v>
      </c>
      <c r="CN5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4555</v>
      </c>
      <c r="CO57" s="53">
        <f>Table1[[#This Row],[Pledge]]-Table1[[#This Row],[Pledge Count]]</f>
        <v>10465</v>
      </c>
      <c r="CP57" s="32" t="str">
        <f>IF(Table1[[#This Row],[Backers]]=Table1[[#This Row],[Backers Count]],"OK!","N!")</f>
        <v>N!</v>
      </c>
      <c r="CQ57" s="32">
        <f>SUM(Table1[[#This Row],[Backers Level 1]:[Backers Level 36]])</f>
        <v>46</v>
      </c>
      <c r="CR57" s="32">
        <f>Table1[[#This Row],[Backers]]-Table1[[#This Row],[Backers Count]]</f>
        <v>15</v>
      </c>
      <c r="CS5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5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</v>
      </c>
      <c r="CU5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8</v>
      </c>
      <c r="CV5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16</v>
      </c>
      <c r="CW5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6</v>
      </c>
      <c r="CX5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5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7</v>
      </c>
      <c r="CZ5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7"/>
      <c r="DE57"/>
      <c r="DG57"/>
      <c r="DI57"/>
      <c r="DK57"/>
      <c r="DM57"/>
      <c r="DO57"/>
      <c r="DQ57"/>
      <c r="DS57"/>
      <c r="DT57"/>
    </row>
    <row r="58" spans="1:124">
      <c r="A58" s="22" t="s">
        <v>284</v>
      </c>
      <c r="B58" s="14">
        <v>41333</v>
      </c>
      <c r="C58" s="23" t="s">
        <v>313</v>
      </c>
      <c r="D58" s="23" t="s">
        <v>314</v>
      </c>
      <c r="E58" s="24" t="s">
        <v>315</v>
      </c>
      <c r="F58" s="23" t="s">
        <v>65</v>
      </c>
      <c r="G58" s="23" t="s">
        <v>316</v>
      </c>
      <c r="H58" s="32" t="str">
        <f>RIGHT(Table1[[#This Row],[Location]],2)</f>
        <v>OK</v>
      </c>
      <c r="I58" s="25">
        <v>41300</v>
      </c>
      <c r="J58" s="25">
        <v>41321</v>
      </c>
      <c r="K58" s="37">
        <v>605</v>
      </c>
      <c r="L58" s="37">
        <v>600</v>
      </c>
      <c r="M58" s="40">
        <v>25</v>
      </c>
      <c r="N58" s="40">
        <v>705</v>
      </c>
      <c r="O58" s="26">
        <v>5</v>
      </c>
      <c r="P58" s="26">
        <v>15</v>
      </c>
      <c r="Q58" s="26">
        <v>25</v>
      </c>
      <c r="R58" s="27">
        <v>50</v>
      </c>
      <c r="S58" s="37">
        <v>75</v>
      </c>
      <c r="T58" s="37"/>
      <c r="U58" s="37"/>
      <c r="V58" s="37"/>
      <c r="W58" s="37"/>
      <c r="X58" s="37"/>
      <c r="Y58" s="37"/>
      <c r="Z58" s="37"/>
      <c r="AA58" s="36"/>
      <c r="AC58" s="36"/>
      <c r="AE58" s="36"/>
      <c r="AG58" s="36"/>
      <c r="AI58" s="36"/>
      <c r="AK58" s="36"/>
      <c r="AM58" s="36"/>
      <c r="AO58" s="36"/>
      <c r="AQ58" s="36"/>
      <c r="AS58" s="36"/>
      <c r="AU58" s="36"/>
      <c r="AW58" s="36"/>
      <c r="AY58" s="24">
        <v>12</v>
      </c>
      <c r="AZ58" s="24">
        <v>5</v>
      </c>
      <c r="BA58" s="24">
        <v>2</v>
      </c>
      <c r="BB58" s="28">
        <v>3</v>
      </c>
      <c r="BC58" s="23">
        <v>1</v>
      </c>
      <c r="BD58" s="23"/>
      <c r="BE58" s="23"/>
      <c r="BF58" s="23"/>
      <c r="BG58" s="23"/>
      <c r="BH58" s="23"/>
      <c r="BI58" s="23"/>
      <c r="BJ58" s="23"/>
      <c r="CI5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58">
        <f>COUNTA(Table1[[#This Row],[Reward Level 1]:[Reward Level 36]])</f>
        <v>5</v>
      </c>
      <c r="CK58">
        <f>COUNTIF(Table1[[#This Row],[Backers Level 1]:[Backers Level 36]],"&gt;0")</f>
        <v>5</v>
      </c>
      <c r="CL58" s="49">
        <f>Table1[[#This Row],[Pledge]]/Table1[[#This Row],[Backers]]</f>
        <v>24.2</v>
      </c>
      <c r="CM58" s="32" t="str">
        <f>IF(Table1[[#This Row],[Pledge]]=Table1[[#This Row],[Pledge Count]],"OK!","N!")</f>
        <v>N!</v>
      </c>
      <c r="CN5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410</v>
      </c>
      <c r="CO58" s="53">
        <f>Table1[[#This Row],[Pledge]]-Table1[[#This Row],[Pledge Count]]</f>
        <v>195</v>
      </c>
      <c r="CP58" s="32" t="str">
        <f>IF(Table1[[#This Row],[Backers]]=Table1[[#This Row],[Backers Count]],"OK!","N!")</f>
        <v>N!</v>
      </c>
      <c r="CQ58" s="32">
        <f>SUM(Table1[[#This Row],[Backers Level 1]:[Backers Level 36]])</f>
        <v>23</v>
      </c>
      <c r="CR58" s="32">
        <f>Table1[[#This Row],[Backers]]-Table1[[#This Row],[Backers Count]]</f>
        <v>2</v>
      </c>
      <c r="CS5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12</v>
      </c>
      <c r="CT5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5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5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5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5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8"/>
      <c r="DE58"/>
      <c r="DG58"/>
      <c r="DI58"/>
      <c r="DK58"/>
      <c r="DM58"/>
      <c r="DO58"/>
      <c r="DQ58"/>
      <c r="DS58"/>
      <c r="DT58"/>
    </row>
    <row r="59" spans="1:124">
      <c r="A59" s="22" t="s">
        <v>285</v>
      </c>
      <c r="B59" s="14">
        <v>41333</v>
      </c>
      <c r="C59" s="23" t="s">
        <v>317</v>
      </c>
      <c r="D59" s="23" t="s">
        <v>318</v>
      </c>
      <c r="E59" s="24" t="s">
        <v>319</v>
      </c>
      <c r="F59" s="23" t="s">
        <v>51</v>
      </c>
      <c r="G59" s="23" t="s">
        <v>320</v>
      </c>
      <c r="H59" s="32" t="str">
        <f>RIGHT(Table1[[#This Row],[Location]],2)</f>
        <v>IL</v>
      </c>
      <c r="I59" s="25">
        <v>41291</v>
      </c>
      <c r="J59" s="25">
        <v>41321</v>
      </c>
      <c r="K59" s="37">
        <v>1565</v>
      </c>
      <c r="L59" s="37">
        <v>1500</v>
      </c>
      <c r="M59" s="40">
        <v>45</v>
      </c>
      <c r="N59" s="40">
        <v>287</v>
      </c>
      <c r="O59" s="26">
        <v>5</v>
      </c>
      <c r="P59" s="26">
        <v>15</v>
      </c>
      <c r="Q59" s="26">
        <v>25</v>
      </c>
      <c r="R59" s="27">
        <v>50</v>
      </c>
      <c r="S59" s="37">
        <v>100</v>
      </c>
      <c r="T59" s="37">
        <v>500</v>
      </c>
      <c r="U59" s="37"/>
      <c r="V59" s="37"/>
      <c r="W59" s="37"/>
      <c r="X59" s="37"/>
      <c r="Y59" s="37"/>
      <c r="Z59" s="37"/>
      <c r="AA59" s="36"/>
      <c r="AC59" s="36"/>
      <c r="AE59" s="36"/>
      <c r="AG59" s="36"/>
      <c r="AI59" s="36"/>
      <c r="AK59" s="36"/>
      <c r="AM59" s="36"/>
      <c r="AO59" s="36"/>
      <c r="AQ59" s="36"/>
      <c r="AS59" s="36"/>
      <c r="AU59" s="36"/>
      <c r="AW59" s="36"/>
      <c r="AY59" s="24">
        <v>2</v>
      </c>
      <c r="AZ59" s="24">
        <v>12</v>
      </c>
      <c r="BA59" s="24">
        <v>21</v>
      </c>
      <c r="BB59" s="28">
        <v>5</v>
      </c>
      <c r="BC59" s="23">
        <v>0</v>
      </c>
      <c r="BD59" s="23">
        <v>0</v>
      </c>
      <c r="BE59" s="23"/>
      <c r="BF59" s="23"/>
      <c r="BG59" s="23"/>
      <c r="BH59" s="23"/>
      <c r="BI59" s="23"/>
      <c r="BJ59" s="23"/>
      <c r="CI5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59">
        <f>COUNTA(Table1[[#This Row],[Reward Level 1]:[Reward Level 36]])</f>
        <v>6</v>
      </c>
      <c r="CK59">
        <f>COUNTIF(Table1[[#This Row],[Backers Level 1]:[Backers Level 36]],"&gt;0")</f>
        <v>4</v>
      </c>
      <c r="CL59" s="49">
        <f>Table1[[#This Row],[Pledge]]/Table1[[#This Row],[Backers]]</f>
        <v>34.777777777777779</v>
      </c>
      <c r="CM59" s="32" t="str">
        <f>IF(Table1[[#This Row],[Pledge]]=Table1[[#This Row],[Pledge Count]],"OK!","N!")</f>
        <v>N!</v>
      </c>
      <c r="CN5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965</v>
      </c>
      <c r="CO59" s="53">
        <f>Table1[[#This Row],[Pledge]]-Table1[[#This Row],[Pledge Count]]</f>
        <v>600</v>
      </c>
      <c r="CP59" s="32" t="str">
        <f>IF(Table1[[#This Row],[Backers]]=Table1[[#This Row],[Backers Count]],"OK!","N!")</f>
        <v>N!</v>
      </c>
      <c r="CQ59" s="32">
        <f>SUM(Table1[[#This Row],[Backers Level 1]:[Backers Level 36]])</f>
        <v>40</v>
      </c>
      <c r="CR59" s="32">
        <f>Table1[[#This Row],[Backers]]-Table1[[#This Row],[Backers Count]]</f>
        <v>5</v>
      </c>
      <c r="CS5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5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5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33</v>
      </c>
      <c r="CV5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</v>
      </c>
      <c r="CW5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5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5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5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5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5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59"/>
      <c r="DE59"/>
      <c r="DG59"/>
      <c r="DI59"/>
      <c r="DK59"/>
      <c r="DM59"/>
      <c r="DO59"/>
      <c r="DQ59"/>
      <c r="DS59"/>
      <c r="DT59"/>
    </row>
    <row r="60" spans="1:124">
      <c r="A60" s="22" t="s">
        <v>286</v>
      </c>
      <c r="B60" s="14">
        <v>41333</v>
      </c>
      <c r="C60" s="23" t="s">
        <v>321</v>
      </c>
      <c r="D60" s="23" t="s">
        <v>322</v>
      </c>
      <c r="E60" s="24" t="s">
        <v>601</v>
      </c>
      <c r="F60" s="23" t="s">
        <v>87</v>
      </c>
      <c r="G60" s="23" t="s">
        <v>323</v>
      </c>
      <c r="H60" s="32" t="str">
        <f>RIGHT(Table1[[#This Row],[Location]],2)</f>
        <v>ID</v>
      </c>
      <c r="I60" s="25">
        <v>41261</v>
      </c>
      <c r="J60" s="25">
        <v>41290</v>
      </c>
      <c r="K60" s="37">
        <v>27530</v>
      </c>
      <c r="L60" s="37">
        <v>25000</v>
      </c>
      <c r="M60" s="40">
        <v>93</v>
      </c>
      <c r="N60" s="40">
        <v>792</v>
      </c>
      <c r="O60" s="26">
        <v>5</v>
      </c>
      <c r="P60" s="26">
        <v>10</v>
      </c>
      <c r="Q60" s="26">
        <v>25</v>
      </c>
      <c r="R60" s="27">
        <v>50</v>
      </c>
      <c r="S60" s="37">
        <v>75</v>
      </c>
      <c r="T60" s="37">
        <v>135</v>
      </c>
      <c r="U60" s="37">
        <v>300</v>
      </c>
      <c r="V60" s="37">
        <v>800</v>
      </c>
      <c r="W60" s="37">
        <v>1000</v>
      </c>
      <c r="X60" s="37">
        <v>3000</v>
      </c>
      <c r="Y60" s="37">
        <v>5000</v>
      </c>
      <c r="Z60" s="37">
        <v>10000</v>
      </c>
      <c r="AA60" s="36"/>
      <c r="AC60" s="36"/>
      <c r="AE60" s="36"/>
      <c r="AG60" s="36"/>
      <c r="AI60" s="36"/>
      <c r="AK60" s="36"/>
      <c r="AM60" s="36"/>
      <c r="AO60" s="36"/>
      <c r="AQ60" s="36"/>
      <c r="AS60" s="36"/>
      <c r="AU60" s="36"/>
      <c r="AW60" s="36"/>
      <c r="AY60" s="24">
        <v>1</v>
      </c>
      <c r="AZ60" s="24">
        <v>5</v>
      </c>
      <c r="BA60" s="24">
        <v>17</v>
      </c>
      <c r="BB60" s="28">
        <v>20</v>
      </c>
      <c r="BC60" s="23">
        <v>8</v>
      </c>
      <c r="BD60" s="23">
        <v>7</v>
      </c>
      <c r="BE60" s="23">
        <v>2</v>
      </c>
      <c r="BF60" s="23">
        <v>1</v>
      </c>
      <c r="BG60" s="23">
        <v>1</v>
      </c>
      <c r="BH60" s="23">
        <v>0</v>
      </c>
      <c r="BI60" s="23">
        <v>1</v>
      </c>
      <c r="BJ60" s="23">
        <v>0</v>
      </c>
      <c r="CI6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D - $20,000 to $99,999 Raised</v>
      </c>
      <c r="CJ60">
        <f>COUNTA(Table1[[#This Row],[Reward Level 1]:[Reward Level 36]])</f>
        <v>12</v>
      </c>
      <c r="CK60">
        <f>COUNTIF(Table1[[#This Row],[Backers Level 1]:[Backers Level 36]],"&gt;0")</f>
        <v>10</v>
      </c>
      <c r="CL60" s="49">
        <f>Table1[[#This Row],[Pledge]]/Table1[[#This Row],[Backers]]</f>
        <v>296.02150537634407</v>
      </c>
      <c r="CM60" s="32" t="str">
        <f>IF(Table1[[#This Row],[Pledge]]=Table1[[#This Row],[Pledge Count]],"OK!","N!")</f>
        <v>N!</v>
      </c>
      <c r="CN6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10425</v>
      </c>
      <c r="CO60" s="53">
        <f>Table1[[#This Row],[Pledge]]-Table1[[#This Row],[Pledge Count]]</f>
        <v>17105</v>
      </c>
      <c r="CP60" s="32" t="str">
        <f>IF(Table1[[#This Row],[Backers]]=Table1[[#This Row],[Backers Count]],"OK!","N!")</f>
        <v>N!</v>
      </c>
      <c r="CQ60" s="32">
        <f>SUM(Table1[[#This Row],[Backers Level 1]:[Backers Level 36]])</f>
        <v>63</v>
      </c>
      <c r="CR60" s="32">
        <f>Table1[[#This Row],[Backers]]-Table1[[#This Row],[Backers Count]]</f>
        <v>30</v>
      </c>
      <c r="CS6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6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</v>
      </c>
      <c r="CU6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17</v>
      </c>
      <c r="CV6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20</v>
      </c>
      <c r="CW6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6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7</v>
      </c>
      <c r="CY6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6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2</v>
      </c>
      <c r="DA6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1</v>
      </c>
      <c r="DC60"/>
      <c r="DE60"/>
      <c r="DG60"/>
      <c r="DI60"/>
      <c r="DK60"/>
      <c r="DM60"/>
      <c r="DO60"/>
      <c r="DQ60"/>
      <c r="DS60"/>
      <c r="DT60"/>
    </row>
    <row r="61" spans="1:124">
      <c r="A61" s="22" t="s">
        <v>287</v>
      </c>
      <c r="B61" s="25">
        <v>41334</v>
      </c>
      <c r="C61" s="23" t="s">
        <v>334</v>
      </c>
      <c r="D61" s="23" t="s">
        <v>335</v>
      </c>
      <c r="E61" s="24" t="s">
        <v>336</v>
      </c>
      <c r="F61" s="23" t="s">
        <v>51</v>
      </c>
      <c r="G61" s="44" t="s">
        <v>337</v>
      </c>
      <c r="H61" s="32" t="str">
        <f>RIGHT(Table1[[#This Row],[Location]],2)</f>
        <v>NY</v>
      </c>
      <c r="I61" s="25">
        <v>41298</v>
      </c>
      <c r="J61" s="25">
        <v>41321</v>
      </c>
      <c r="K61" s="37">
        <v>2754</v>
      </c>
      <c r="L61" s="37">
        <v>2500</v>
      </c>
      <c r="M61" s="43">
        <v>47</v>
      </c>
      <c r="N61" s="40">
        <v>417</v>
      </c>
      <c r="O61" s="26">
        <v>12</v>
      </c>
      <c r="P61" s="26">
        <v>18</v>
      </c>
      <c r="Q61" s="26">
        <v>28</v>
      </c>
      <c r="R61" s="27">
        <v>38</v>
      </c>
      <c r="S61" s="37">
        <v>48</v>
      </c>
      <c r="T61" s="37">
        <v>78</v>
      </c>
      <c r="U61" s="37">
        <v>108</v>
      </c>
      <c r="V61" s="37">
        <v>248</v>
      </c>
      <c r="W61" s="37">
        <v>458</v>
      </c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24">
        <v>8</v>
      </c>
      <c r="AZ61" s="24">
        <v>10</v>
      </c>
      <c r="BA61" s="24">
        <v>5</v>
      </c>
      <c r="BB61" s="28">
        <v>4</v>
      </c>
      <c r="BC61" s="23">
        <v>4</v>
      </c>
      <c r="BD61" s="23">
        <v>1</v>
      </c>
      <c r="BE61" s="23">
        <v>1</v>
      </c>
      <c r="BF61" s="23">
        <v>2</v>
      </c>
      <c r="BG61" s="23">
        <v>1</v>
      </c>
      <c r="BH61" s="23"/>
      <c r="BI61" s="23"/>
      <c r="BJ61" s="23"/>
      <c r="BK61" s="23"/>
      <c r="BL61" s="23"/>
      <c r="BM61" s="23"/>
      <c r="BN61" s="23"/>
      <c r="BO61" s="23"/>
      <c r="BP61" s="23"/>
      <c r="BQ61" s="23"/>
      <c r="BR61" s="23"/>
      <c r="BS61" s="23"/>
      <c r="BT61" s="23"/>
      <c r="BU61" s="23"/>
      <c r="BV61" s="23"/>
      <c r="BW61" s="23"/>
      <c r="BX61" s="23"/>
      <c r="BY61" s="23"/>
      <c r="BZ61" s="23"/>
      <c r="CA61" s="23"/>
      <c r="CB61" s="23"/>
      <c r="CC61" s="23"/>
      <c r="CD61" s="23"/>
      <c r="CE61" s="23"/>
      <c r="CF61" s="23"/>
      <c r="CG61" s="23"/>
      <c r="CH61" s="23"/>
      <c r="CI6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1">
        <f>COUNTA(Table1[[#This Row],[Reward Level 1]:[Reward Level 36]])</f>
        <v>9</v>
      </c>
      <c r="CK61">
        <f>COUNTIF(Table1[[#This Row],[Backers Level 1]:[Backers Level 36]],"&gt;0")</f>
        <v>9</v>
      </c>
      <c r="CL61" s="49">
        <f>Table1[[#This Row],[Pledge]]/Table1[[#This Row],[Backers]]</f>
        <v>58.595744680851062</v>
      </c>
      <c r="CM61" s="32" t="str">
        <f>IF(Table1[[#This Row],[Pledge]]=Table1[[#This Row],[Pledge Count]],"OK!","N!")</f>
        <v>N!</v>
      </c>
      <c r="CN6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1900</v>
      </c>
      <c r="CO61" s="53">
        <f>Table1[[#This Row],[Pledge]]-Table1[[#This Row],[Pledge Count]]</f>
        <v>854</v>
      </c>
      <c r="CP61" s="32" t="str">
        <f>IF(Table1[[#This Row],[Backers]]=Table1[[#This Row],[Backers Count]],"OK!","N!")</f>
        <v>N!</v>
      </c>
      <c r="CQ61" s="32">
        <f>SUM(Table1[[#This Row],[Backers Level 1]:[Backers Level 36]])</f>
        <v>36</v>
      </c>
      <c r="CR61" s="32">
        <f>Table1[[#This Row],[Backers]]-Table1[[#This Row],[Backers Count]]</f>
        <v>11</v>
      </c>
      <c r="CS6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6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18</v>
      </c>
      <c r="CV6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13</v>
      </c>
      <c r="CW6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6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6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6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1"/>
      <c r="DE61"/>
      <c r="DG61"/>
      <c r="DI61"/>
      <c r="DK61"/>
      <c r="DM61"/>
      <c r="DO61"/>
      <c r="DQ61"/>
      <c r="DS61"/>
      <c r="DT61"/>
    </row>
    <row r="62" spans="1:124">
      <c r="A62" s="22" t="s">
        <v>324</v>
      </c>
      <c r="B62" s="25">
        <v>41334</v>
      </c>
      <c r="C62" s="23" t="s">
        <v>338</v>
      </c>
      <c r="D62" s="23" t="s">
        <v>339</v>
      </c>
      <c r="E62" s="24" t="s">
        <v>340</v>
      </c>
      <c r="F62" s="23" t="s">
        <v>51</v>
      </c>
      <c r="G62" s="44" t="s">
        <v>341</v>
      </c>
      <c r="H62" s="32" t="str">
        <f>RIGHT(Table1[[#This Row],[Location]],2)</f>
        <v>AZ</v>
      </c>
      <c r="I62" s="25">
        <v>41291</v>
      </c>
      <c r="J62" s="25">
        <v>41321</v>
      </c>
      <c r="K62" s="37">
        <v>3150</v>
      </c>
      <c r="L62" s="37">
        <v>3000</v>
      </c>
      <c r="M62" s="43">
        <v>60</v>
      </c>
      <c r="N62" s="40">
        <v>206</v>
      </c>
      <c r="O62" s="26">
        <v>15</v>
      </c>
      <c r="P62" s="26">
        <v>30</v>
      </c>
      <c r="Q62" s="26">
        <v>75</v>
      </c>
      <c r="R62" s="27">
        <v>125</v>
      </c>
      <c r="S62" s="37">
        <v>500</v>
      </c>
      <c r="T62" s="37">
        <v>1000</v>
      </c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24">
        <v>13</v>
      </c>
      <c r="AZ62" s="24">
        <v>21</v>
      </c>
      <c r="BA62" s="24">
        <v>8</v>
      </c>
      <c r="BB62" s="28">
        <v>4</v>
      </c>
      <c r="BC62" s="23">
        <v>0</v>
      </c>
      <c r="BD62" s="23">
        <v>0</v>
      </c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3"/>
      <c r="BP62" s="23"/>
      <c r="BQ62" s="23"/>
      <c r="BR62" s="23"/>
      <c r="BS62" s="23"/>
      <c r="BT62" s="23"/>
      <c r="BU62" s="23"/>
      <c r="BV62" s="23"/>
      <c r="BW62" s="23"/>
      <c r="BX62" s="23"/>
      <c r="BY62" s="23"/>
      <c r="BZ62" s="23"/>
      <c r="CA62" s="23"/>
      <c r="CB62" s="23"/>
      <c r="CC62" s="23"/>
      <c r="CD62" s="23"/>
      <c r="CE62" s="23"/>
      <c r="CF62" s="23"/>
      <c r="CG62" s="23"/>
      <c r="CH62" s="23"/>
      <c r="CI6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2">
        <f>COUNTA(Table1[[#This Row],[Reward Level 1]:[Reward Level 36]])</f>
        <v>6</v>
      </c>
      <c r="CK62">
        <f>COUNTIF(Table1[[#This Row],[Backers Level 1]:[Backers Level 36]],"&gt;0")</f>
        <v>4</v>
      </c>
      <c r="CL62" s="49">
        <f>Table1[[#This Row],[Pledge]]/Table1[[#This Row],[Backers]]</f>
        <v>52.5</v>
      </c>
      <c r="CM62" s="32" t="str">
        <f>IF(Table1[[#This Row],[Pledge]]=Table1[[#This Row],[Pledge Count]],"OK!","N!")</f>
        <v>N!</v>
      </c>
      <c r="CN6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1925</v>
      </c>
      <c r="CO62" s="53">
        <f>Table1[[#This Row],[Pledge]]-Table1[[#This Row],[Pledge Count]]</f>
        <v>1225</v>
      </c>
      <c r="CP62" s="32" t="str">
        <f>IF(Table1[[#This Row],[Backers]]=Table1[[#This Row],[Backers Count]],"OK!","N!")</f>
        <v>N!</v>
      </c>
      <c r="CQ62" s="32">
        <f>SUM(Table1[[#This Row],[Backers Level 1]:[Backers Level 36]])</f>
        <v>46</v>
      </c>
      <c r="CR62" s="32">
        <f>Table1[[#This Row],[Backers]]-Table1[[#This Row],[Backers Count]]</f>
        <v>14</v>
      </c>
      <c r="CS6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6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13</v>
      </c>
      <c r="CV6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21</v>
      </c>
      <c r="CW6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6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6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2"/>
      <c r="DE62"/>
      <c r="DG62"/>
      <c r="DI62"/>
      <c r="DK62"/>
      <c r="DM62"/>
      <c r="DO62"/>
      <c r="DQ62"/>
      <c r="DS62"/>
      <c r="DT62"/>
    </row>
    <row r="63" spans="1:124">
      <c r="A63" s="22" t="s">
        <v>325</v>
      </c>
      <c r="B63" s="25">
        <v>41334</v>
      </c>
      <c r="C63" s="23" t="s">
        <v>342</v>
      </c>
      <c r="D63" s="23" t="s">
        <v>343</v>
      </c>
      <c r="E63" s="24" t="s">
        <v>344</v>
      </c>
      <c r="F63" s="23" t="s">
        <v>65</v>
      </c>
      <c r="G63" s="44" t="s">
        <v>345</v>
      </c>
      <c r="H63" s="32" t="str">
        <f>RIGHT(Table1[[#This Row],[Location]],2)</f>
        <v>GA</v>
      </c>
      <c r="I63" s="25">
        <v>41291</v>
      </c>
      <c r="J63" s="25">
        <v>41321</v>
      </c>
      <c r="K63" s="37">
        <v>825</v>
      </c>
      <c r="L63" s="37">
        <v>500</v>
      </c>
      <c r="M63" s="43">
        <v>30</v>
      </c>
      <c r="N63" s="40"/>
      <c r="O63" s="26">
        <v>10</v>
      </c>
      <c r="P63" s="26">
        <v>25</v>
      </c>
      <c r="Q63" s="26">
        <v>50</v>
      </c>
      <c r="R63" s="27">
        <v>100</v>
      </c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37"/>
      <c r="AP63" s="37"/>
      <c r="AQ63" s="37"/>
      <c r="AR63" s="37"/>
      <c r="AS63" s="37"/>
      <c r="AT63" s="37"/>
      <c r="AU63" s="37"/>
      <c r="AV63" s="37"/>
      <c r="AW63" s="37"/>
      <c r="AX63" s="37"/>
      <c r="AY63" s="24">
        <v>12</v>
      </c>
      <c r="AZ63" s="24">
        <v>12</v>
      </c>
      <c r="BA63" s="24">
        <v>4</v>
      </c>
      <c r="BB63" s="28">
        <v>2</v>
      </c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3"/>
      <c r="CH63" s="23"/>
      <c r="CI6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63">
        <f>COUNTA(Table1[[#This Row],[Reward Level 1]:[Reward Level 36]])</f>
        <v>4</v>
      </c>
      <c r="CK63">
        <f>COUNTIF(Table1[[#This Row],[Backers Level 1]:[Backers Level 36]],"&gt;0")</f>
        <v>4</v>
      </c>
      <c r="CL63" s="49">
        <f>Table1[[#This Row],[Pledge]]/Table1[[#This Row],[Backers]]</f>
        <v>27.5</v>
      </c>
      <c r="CM63" s="32" t="str">
        <f>IF(Table1[[#This Row],[Pledge]]=Table1[[#This Row],[Pledge Count]],"OK!","N!")</f>
        <v>N!</v>
      </c>
      <c r="CN6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820</v>
      </c>
      <c r="CO63" s="53">
        <f>Table1[[#This Row],[Pledge]]-Table1[[#This Row],[Pledge Count]]</f>
        <v>5</v>
      </c>
      <c r="CP63" s="32" t="str">
        <f>IF(Table1[[#This Row],[Backers]]=Table1[[#This Row],[Backers Count]],"OK!","N!")</f>
        <v>OK!</v>
      </c>
      <c r="CQ63" s="32">
        <f>SUM(Table1[[#This Row],[Backers Level 1]:[Backers Level 36]])</f>
        <v>30</v>
      </c>
      <c r="CR63" s="32">
        <f>Table1[[#This Row],[Backers]]-Table1[[#This Row],[Backers Count]]</f>
        <v>0</v>
      </c>
      <c r="CS6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12</v>
      </c>
      <c r="CU6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12</v>
      </c>
      <c r="CV6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</v>
      </c>
      <c r="CW6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6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6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3"/>
      <c r="DE63"/>
      <c r="DG63"/>
      <c r="DI63"/>
      <c r="DK63"/>
      <c r="DM63"/>
      <c r="DO63"/>
      <c r="DQ63"/>
      <c r="DS63"/>
      <c r="DT63"/>
    </row>
    <row r="64" spans="1:124">
      <c r="A64" s="22" t="s">
        <v>326</v>
      </c>
      <c r="B64" s="25">
        <v>41334</v>
      </c>
      <c r="C64" s="23" t="s">
        <v>346</v>
      </c>
      <c r="D64" s="23" t="s">
        <v>347</v>
      </c>
      <c r="E64" s="24" t="s">
        <v>348</v>
      </c>
      <c r="F64" s="23" t="s">
        <v>74</v>
      </c>
      <c r="G64" s="44" t="s">
        <v>206</v>
      </c>
      <c r="H64" s="32" t="str">
        <f>RIGHT(Table1[[#This Row],[Location]],2)</f>
        <v>CA</v>
      </c>
      <c r="I64" s="25">
        <v>41291</v>
      </c>
      <c r="J64" s="25">
        <v>41321</v>
      </c>
      <c r="K64" s="37">
        <v>24638</v>
      </c>
      <c r="L64" s="37">
        <v>19500</v>
      </c>
      <c r="M64" s="43">
        <v>362</v>
      </c>
      <c r="N64" s="40">
        <v>1424</v>
      </c>
      <c r="O64" s="26">
        <v>10</v>
      </c>
      <c r="P64" s="26">
        <v>15</v>
      </c>
      <c r="Q64" s="26">
        <v>20</v>
      </c>
      <c r="R64" s="27">
        <v>25</v>
      </c>
      <c r="S64" s="37">
        <v>50</v>
      </c>
      <c r="T64" s="37">
        <v>50</v>
      </c>
      <c r="U64" s="37">
        <v>65</v>
      </c>
      <c r="V64" s="37">
        <v>100</v>
      </c>
      <c r="W64" s="37">
        <v>100</v>
      </c>
      <c r="X64" s="37">
        <v>150</v>
      </c>
      <c r="Y64" s="37">
        <v>150</v>
      </c>
      <c r="Z64" s="37">
        <v>150</v>
      </c>
      <c r="AA64" s="37">
        <v>175</v>
      </c>
      <c r="AB64" s="37">
        <v>200</v>
      </c>
      <c r="AC64" s="37">
        <v>200</v>
      </c>
      <c r="AD64" s="37">
        <v>250</v>
      </c>
      <c r="AE64" s="37">
        <v>250</v>
      </c>
      <c r="AF64" s="37">
        <v>300</v>
      </c>
      <c r="AG64" s="37">
        <v>300</v>
      </c>
      <c r="AH64" s="37">
        <v>350</v>
      </c>
      <c r="AI64" s="37">
        <v>350</v>
      </c>
      <c r="AJ64" s="37">
        <v>500</v>
      </c>
      <c r="AK64" s="37">
        <v>1000</v>
      </c>
      <c r="AL64" s="37">
        <v>1000</v>
      </c>
      <c r="AM64" s="37">
        <v>1000</v>
      </c>
      <c r="AN64" s="37">
        <v>1500</v>
      </c>
      <c r="AO64" s="37">
        <v>1500</v>
      </c>
      <c r="AP64" s="37">
        <v>2500</v>
      </c>
      <c r="AQ64" s="37">
        <v>4000</v>
      </c>
      <c r="AR64" s="37"/>
      <c r="AS64" s="37"/>
      <c r="AT64" s="37"/>
      <c r="AU64" s="37"/>
      <c r="AV64" s="37"/>
      <c r="AW64" s="37"/>
      <c r="AX64" s="37"/>
      <c r="AY64" s="24">
        <v>81</v>
      </c>
      <c r="AZ64" s="24">
        <v>49</v>
      </c>
      <c r="BA64" s="24">
        <v>30</v>
      </c>
      <c r="BB64" s="28">
        <v>89</v>
      </c>
      <c r="BC64" s="23">
        <v>27</v>
      </c>
      <c r="BD64" s="23">
        <v>10</v>
      </c>
      <c r="BE64" s="23">
        <v>4</v>
      </c>
      <c r="BF64" s="23">
        <v>25</v>
      </c>
      <c r="BG64" s="23">
        <v>7</v>
      </c>
      <c r="BH64" s="23">
        <v>2</v>
      </c>
      <c r="BI64" s="23">
        <v>1</v>
      </c>
      <c r="BJ64" s="23">
        <v>1</v>
      </c>
      <c r="BK64" s="23">
        <v>0</v>
      </c>
      <c r="BL64" s="23">
        <v>1</v>
      </c>
      <c r="BM64" s="23">
        <v>0</v>
      </c>
      <c r="BN64" s="23">
        <v>0</v>
      </c>
      <c r="BO64" s="23">
        <v>1</v>
      </c>
      <c r="BP64" s="23">
        <v>1</v>
      </c>
      <c r="BQ64" s="23">
        <v>2</v>
      </c>
      <c r="BR64" s="23">
        <v>1</v>
      </c>
      <c r="BS64" s="23">
        <v>0</v>
      </c>
      <c r="BT64" s="23">
        <v>2</v>
      </c>
      <c r="BU64" s="23">
        <v>1</v>
      </c>
      <c r="BV64" s="23">
        <v>2</v>
      </c>
      <c r="BW64" s="23">
        <v>1</v>
      </c>
      <c r="BX64" s="23">
        <v>1</v>
      </c>
      <c r="BY64" s="23">
        <v>0</v>
      </c>
      <c r="BZ64" s="23">
        <v>0</v>
      </c>
      <c r="CA64" s="23">
        <v>1</v>
      </c>
      <c r="CB64" s="23"/>
      <c r="CC64" s="23"/>
      <c r="CD64" s="23"/>
      <c r="CE64" s="23"/>
      <c r="CF64" s="23"/>
      <c r="CG64" s="23"/>
      <c r="CH64" s="23"/>
      <c r="CI6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D - $20,000 to $99,999 Raised</v>
      </c>
      <c r="CJ64">
        <f>COUNTA(Table1[[#This Row],[Reward Level 1]:[Reward Level 36]])</f>
        <v>29</v>
      </c>
      <c r="CK64">
        <f>COUNTIF(Table1[[#This Row],[Backers Level 1]:[Backers Level 36]],"&gt;0")</f>
        <v>23</v>
      </c>
      <c r="CL64" s="49">
        <f>Table1[[#This Row],[Pledge]]/Table1[[#This Row],[Backers]]</f>
        <v>68.060773480662988</v>
      </c>
      <c r="CM64" s="32" t="str">
        <f>IF(Table1[[#This Row],[Pledge]]=Table1[[#This Row],[Pledge Count]],"OK!","N!")</f>
        <v>N!</v>
      </c>
      <c r="CN6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10280</v>
      </c>
      <c r="CO64" s="53">
        <f>Table1[[#This Row],[Pledge]]-Table1[[#This Row],[Pledge Count]]</f>
        <v>14358</v>
      </c>
      <c r="CP64" s="32" t="str">
        <f>IF(Table1[[#This Row],[Backers]]=Table1[[#This Row],[Backers Count]],"OK!","N!")</f>
        <v>N!</v>
      </c>
      <c r="CQ64" s="32">
        <f>SUM(Table1[[#This Row],[Backers Level 1]:[Backers Level 36]])</f>
        <v>340</v>
      </c>
      <c r="CR64" s="32">
        <f>Table1[[#This Row],[Backers]]-Table1[[#This Row],[Backers Count]]</f>
        <v>22</v>
      </c>
      <c r="CS6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81</v>
      </c>
      <c r="CU6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168</v>
      </c>
      <c r="CV6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37</v>
      </c>
      <c r="CW6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36</v>
      </c>
      <c r="CX6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6</v>
      </c>
      <c r="CY6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6</v>
      </c>
      <c r="CZ6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4</v>
      </c>
      <c r="DA6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1</v>
      </c>
      <c r="DB6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1</v>
      </c>
      <c r="DC64"/>
      <c r="DE64"/>
      <c r="DG64"/>
      <c r="DI64"/>
      <c r="DK64"/>
      <c r="DM64"/>
      <c r="DO64"/>
      <c r="DQ64"/>
      <c r="DS64"/>
      <c r="DT64"/>
    </row>
    <row r="65" spans="1:124">
      <c r="A65" s="22" t="s">
        <v>327</v>
      </c>
      <c r="B65" s="25">
        <v>41334</v>
      </c>
      <c r="C65" s="23" t="s">
        <v>349</v>
      </c>
      <c r="D65" s="23" t="s">
        <v>350</v>
      </c>
      <c r="E65" s="24" t="s">
        <v>351</v>
      </c>
      <c r="F65" s="23" t="s">
        <v>65</v>
      </c>
      <c r="G65" s="44" t="s">
        <v>191</v>
      </c>
      <c r="H65" s="32" t="str">
        <f>RIGHT(Table1[[#This Row],[Location]],2)</f>
        <v>DC</v>
      </c>
      <c r="I65" s="25">
        <v>41291</v>
      </c>
      <c r="J65" s="25">
        <v>41321</v>
      </c>
      <c r="K65" s="37">
        <v>3775</v>
      </c>
      <c r="L65" s="37">
        <v>3500</v>
      </c>
      <c r="M65" s="43">
        <v>73</v>
      </c>
      <c r="N65" s="40">
        <v>882</v>
      </c>
      <c r="O65" s="26">
        <v>1</v>
      </c>
      <c r="P65" s="26">
        <v>5</v>
      </c>
      <c r="Q65" s="26">
        <v>10</v>
      </c>
      <c r="R65" s="27">
        <v>20</v>
      </c>
      <c r="S65" s="37">
        <v>30</v>
      </c>
      <c r="T65" s="37">
        <v>50</v>
      </c>
      <c r="U65" s="37">
        <v>75</v>
      </c>
      <c r="V65" s="37">
        <v>100</v>
      </c>
      <c r="W65" s="37">
        <v>250</v>
      </c>
      <c r="X65" s="37">
        <v>500</v>
      </c>
      <c r="Y65" s="37">
        <v>1000</v>
      </c>
      <c r="Z65" s="37">
        <v>1500</v>
      </c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24">
        <v>0</v>
      </c>
      <c r="AZ65" s="24">
        <v>1</v>
      </c>
      <c r="BA65" s="24">
        <v>18</v>
      </c>
      <c r="BB65" s="28">
        <v>21</v>
      </c>
      <c r="BC65" s="23">
        <v>2</v>
      </c>
      <c r="BD65" s="23">
        <v>8</v>
      </c>
      <c r="BE65" s="23">
        <v>2</v>
      </c>
      <c r="BF65" s="23">
        <v>7</v>
      </c>
      <c r="BG65" s="23">
        <v>0</v>
      </c>
      <c r="BH65" s="23">
        <v>0</v>
      </c>
      <c r="BI65" s="23">
        <v>1</v>
      </c>
      <c r="BJ65" s="23">
        <v>0</v>
      </c>
      <c r="BK65" s="23"/>
      <c r="BL65" s="23"/>
      <c r="BM65" s="23"/>
      <c r="BN65" s="23"/>
      <c r="BO65" s="23"/>
      <c r="BP65" s="23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3"/>
      <c r="CH65" s="23"/>
      <c r="CI6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5">
        <f>COUNTA(Table1[[#This Row],[Reward Level 1]:[Reward Level 36]])</f>
        <v>12</v>
      </c>
      <c r="CK65">
        <f>COUNTIF(Table1[[#This Row],[Backers Level 1]:[Backers Level 36]],"&gt;0")</f>
        <v>8</v>
      </c>
      <c r="CL65" s="49">
        <f>Table1[[#This Row],[Pledge]]/Table1[[#This Row],[Backers]]</f>
        <v>51.712328767123289</v>
      </c>
      <c r="CM65" s="32" t="str">
        <f>IF(Table1[[#This Row],[Pledge]]=Table1[[#This Row],[Pledge Count]],"OK!","N!")</f>
        <v>N!</v>
      </c>
      <c r="CN6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2915</v>
      </c>
      <c r="CO65" s="53">
        <f>Table1[[#This Row],[Pledge]]-Table1[[#This Row],[Pledge Count]]</f>
        <v>860</v>
      </c>
      <c r="CP65" s="32" t="str">
        <f>IF(Table1[[#This Row],[Backers]]=Table1[[#This Row],[Backers Count]],"OK!","N!")</f>
        <v>N!</v>
      </c>
      <c r="CQ65" s="32">
        <f>SUM(Table1[[#This Row],[Backers Level 1]:[Backers Level 36]])</f>
        <v>60</v>
      </c>
      <c r="CR65" s="32">
        <f>Table1[[#This Row],[Backers]]-Table1[[#This Row],[Backers Count]]</f>
        <v>13</v>
      </c>
      <c r="CS6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6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18</v>
      </c>
      <c r="CU6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21</v>
      </c>
      <c r="CV6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10</v>
      </c>
      <c r="CW6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9</v>
      </c>
      <c r="CX6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6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6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5"/>
      <c r="DE65"/>
      <c r="DG65"/>
      <c r="DI65"/>
      <c r="DK65"/>
      <c r="DM65"/>
      <c r="DO65"/>
      <c r="DQ65"/>
      <c r="DS65"/>
      <c r="DT65"/>
    </row>
    <row r="66" spans="1:124">
      <c r="A66" s="22" t="s">
        <v>328</v>
      </c>
      <c r="B66" s="25">
        <v>41334</v>
      </c>
      <c r="C66" s="23" t="s">
        <v>352</v>
      </c>
      <c r="D66" s="23" t="s">
        <v>353</v>
      </c>
      <c r="E66" s="24" t="s">
        <v>354</v>
      </c>
      <c r="F66" s="23" t="s">
        <v>65</v>
      </c>
      <c r="G66" s="44" t="s">
        <v>345</v>
      </c>
      <c r="H66" s="32" t="str">
        <f>RIGHT(Table1[[#This Row],[Location]],2)</f>
        <v>GA</v>
      </c>
      <c r="I66" s="25">
        <v>41291</v>
      </c>
      <c r="J66" s="25">
        <v>41321</v>
      </c>
      <c r="K66" s="37">
        <v>21611</v>
      </c>
      <c r="L66" s="37">
        <v>15000</v>
      </c>
      <c r="M66" s="43">
        <v>515</v>
      </c>
      <c r="N66" s="40"/>
      <c r="O66" s="26">
        <v>5</v>
      </c>
      <c r="P66" s="26">
        <v>10</v>
      </c>
      <c r="Q66" s="26">
        <v>25</v>
      </c>
      <c r="R66" s="27">
        <v>40</v>
      </c>
      <c r="S66" s="37">
        <v>50</v>
      </c>
      <c r="T66" s="37">
        <v>75</v>
      </c>
      <c r="U66" s="37">
        <v>100</v>
      </c>
      <c r="V66" s="37">
        <v>250</v>
      </c>
      <c r="W66" s="37">
        <v>500</v>
      </c>
      <c r="X66" s="37">
        <v>1000</v>
      </c>
      <c r="Y66" s="37">
        <v>3000</v>
      </c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24">
        <v>1</v>
      </c>
      <c r="AZ66" s="24">
        <v>116</v>
      </c>
      <c r="BA66" s="24">
        <v>181</v>
      </c>
      <c r="BB66" s="28">
        <v>113</v>
      </c>
      <c r="BC66" s="23">
        <v>44</v>
      </c>
      <c r="BD66" s="23">
        <v>5</v>
      </c>
      <c r="BE66" s="23">
        <v>27</v>
      </c>
      <c r="BF66" s="23">
        <v>19</v>
      </c>
      <c r="BG66" s="23">
        <v>0</v>
      </c>
      <c r="BH66" s="23">
        <v>0</v>
      </c>
      <c r="BI66" s="23">
        <v>0</v>
      </c>
      <c r="BJ66" s="23"/>
      <c r="BK66" s="23"/>
      <c r="BL66" s="23"/>
      <c r="BM66" s="23"/>
      <c r="BN66" s="23"/>
      <c r="BO66" s="23"/>
      <c r="BP66" s="23"/>
      <c r="BQ66" s="23"/>
      <c r="BR66" s="23"/>
      <c r="BS66" s="23"/>
      <c r="BT66" s="23"/>
      <c r="BU66" s="23"/>
      <c r="BV66" s="23"/>
      <c r="BW66" s="23"/>
      <c r="BX66" s="23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D - $20,000 to $99,999 Raised</v>
      </c>
      <c r="CJ66">
        <f>COUNTA(Table1[[#This Row],[Reward Level 1]:[Reward Level 36]])</f>
        <v>11</v>
      </c>
      <c r="CK66">
        <f>COUNTIF(Table1[[#This Row],[Backers Level 1]:[Backers Level 36]],"&gt;0")</f>
        <v>8</v>
      </c>
      <c r="CL66" s="49">
        <f>Table1[[#This Row],[Pledge]]/Table1[[#This Row],[Backers]]</f>
        <v>41.963106796116506</v>
      </c>
      <c r="CM66" s="32" t="str">
        <f>IF(Table1[[#This Row],[Pledge]]=Table1[[#This Row],[Pledge Count]],"OK!","N!")</f>
        <v>N!</v>
      </c>
      <c r="CN6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20235</v>
      </c>
      <c r="CO66" s="53">
        <f>Table1[[#This Row],[Pledge]]-Table1[[#This Row],[Pledge Count]]</f>
        <v>1376</v>
      </c>
      <c r="CP66" s="32" t="str">
        <f>IF(Table1[[#This Row],[Backers]]=Table1[[#This Row],[Backers Count]],"OK!","N!")</f>
        <v>N!</v>
      </c>
      <c r="CQ66" s="32">
        <f>SUM(Table1[[#This Row],[Backers Level 1]:[Backers Level 36]])</f>
        <v>506</v>
      </c>
      <c r="CR66" s="32">
        <f>Table1[[#This Row],[Backers]]-Table1[[#This Row],[Backers Count]]</f>
        <v>9</v>
      </c>
      <c r="CS6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6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116</v>
      </c>
      <c r="CU6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181</v>
      </c>
      <c r="CV6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157</v>
      </c>
      <c r="CW6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32</v>
      </c>
      <c r="CX6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19</v>
      </c>
      <c r="CY6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6"/>
      <c r="DE66"/>
      <c r="DG66"/>
      <c r="DI66"/>
      <c r="DK66"/>
      <c r="DM66"/>
      <c r="DO66"/>
      <c r="DQ66"/>
      <c r="DS66"/>
      <c r="DT66"/>
    </row>
    <row r="67" spans="1:124">
      <c r="A67" s="22" t="s">
        <v>329</v>
      </c>
      <c r="B67" s="25">
        <v>41334</v>
      </c>
      <c r="C67" s="23" t="s">
        <v>355</v>
      </c>
      <c r="D67" s="23" t="s">
        <v>356</v>
      </c>
      <c r="E67" s="24" t="s">
        <v>357</v>
      </c>
      <c r="F67" s="23" t="s">
        <v>11</v>
      </c>
      <c r="G67" s="44" t="s">
        <v>358</v>
      </c>
      <c r="H67" s="32" t="str">
        <f>RIGHT(Table1[[#This Row],[Location]],2)</f>
        <v>CA</v>
      </c>
      <c r="I67" s="25">
        <v>41291</v>
      </c>
      <c r="J67" s="25">
        <v>41321</v>
      </c>
      <c r="K67" s="37">
        <v>2180</v>
      </c>
      <c r="L67" s="37">
        <v>2000</v>
      </c>
      <c r="M67" s="43">
        <v>46</v>
      </c>
      <c r="N67" s="40">
        <v>972</v>
      </c>
      <c r="O67" s="26">
        <v>20</v>
      </c>
      <c r="P67" s="26">
        <v>40</v>
      </c>
      <c r="Q67" s="26">
        <v>100</v>
      </c>
      <c r="R67" s="27">
        <v>500</v>
      </c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  <c r="AM67" s="37"/>
      <c r="AN67" s="37"/>
      <c r="AO67" s="37"/>
      <c r="AP67" s="37"/>
      <c r="AQ67" s="37"/>
      <c r="AR67" s="37"/>
      <c r="AS67" s="37"/>
      <c r="AT67" s="37"/>
      <c r="AU67" s="37"/>
      <c r="AV67" s="37"/>
      <c r="AW67" s="37"/>
      <c r="AX67" s="37"/>
      <c r="AY67" s="24">
        <v>24</v>
      </c>
      <c r="AZ67" s="24">
        <v>8</v>
      </c>
      <c r="BA67" s="24">
        <v>3</v>
      </c>
      <c r="BB67" s="28">
        <v>0</v>
      </c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3"/>
      <c r="BP67" s="23"/>
      <c r="BQ67" s="23"/>
      <c r="BR67" s="23"/>
      <c r="BS67" s="23"/>
      <c r="BT67" s="23"/>
      <c r="BU67" s="23"/>
      <c r="BV67" s="23"/>
      <c r="BW67" s="23"/>
      <c r="BX67" s="23"/>
      <c r="BY67" s="23"/>
      <c r="BZ67" s="23"/>
      <c r="CA67" s="23"/>
      <c r="CB67" s="23"/>
      <c r="CC67" s="23"/>
      <c r="CD67" s="23"/>
      <c r="CE67" s="23"/>
      <c r="CF67" s="23"/>
      <c r="CG67" s="23"/>
      <c r="CH67" s="23"/>
      <c r="CI6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7">
        <f>COUNTA(Table1[[#This Row],[Reward Level 1]:[Reward Level 36]])</f>
        <v>4</v>
      </c>
      <c r="CK67">
        <f>COUNTIF(Table1[[#This Row],[Backers Level 1]:[Backers Level 36]],"&gt;0")</f>
        <v>3</v>
      </c>
      <c r="CL67" s="49">
        <f>Table1[[#This Row],[Pledge]]/Table1[[#This Row],[Backers]]</f>
        <v>47.391304347826086</v>
      </c>
      <c r="CM67" s="32" t="str">
        <f>IF(Table1[[#This Row],[Pledge]]=Table1[[#This Row],[Pledge Count]],"OK!","N!")</f>
        <v>N!</v>
      </c>
      <c r="CN6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1100</v>
      </c>
      <c r="CO67" s="53">
        <f>Table1[[#This Row],[Pledge]]-Table1[[#This Row],[Pledge Count]]</f>
        <v>1080</v>
      </c>
      <c r="CP67" s="32" t="str">
        <f>IF(Table1[[#This Row],[Backers]]=Table1[[#This Row],[Backers Count]],"OK!","N!")</f>
        <v>N!</v>
      </c>
      <c r="CQ67" s="32">
        <f>SUM(Table1[[#This Row],[Backers Level 1]:[Backers Level 36]])</f>
        <v>35</v>
      </c>
      <c r="CR67" s="32">
        <f>Table1[[#This Row],[Backers]]-Table1[[#This Row],[Backers Count]]</f>
        <v>11</v>
      </c>
      <c r="CS6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6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6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24</v>
      </c>
      <c r="CV6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6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6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6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7"/>
      <c r="DE67"/>
      <c r="DG67"/>
      <c r="DI67"/>
      <c r="DK67"/>
      <c r="DM67"/>
      <c r="DO67"/>
      <c r="DQ67"/>
      <c r="DS67"/>
      <c r="DT67"/>
    </row>
    <row r="68" spans="1:124">
      <c r="A68" s="22" t="s">
        <v>330</v>
      </c>
      <c r="B68" s="25">
        <v>41334</v>
      </c>
      <c r="C68" s="23" t="s">
        <v>359</v>
      </c>
      <c r="D68" s="23" t="s">
        <v>360</v>
      </c>
      <c r="E68" s="24" t="s">
        <v>361</v>
      </c>
      <c r="F68" s="23" t="s">
        <v>74</v>
      </c>
      <c r="G68" s="44" t="s">
        <v>362</v>
      </c>
      <c r="H68" s="32" t="str">
        <f>RIGHT(Table1[[#This Row],[Location]],2)</f>
        <v>FL</v>
      </c>
      <c r="I68" s="25">
        <v>41291</v>
      </c>
      <c r="J68" s="25">
        <v>41321</v>
      </c>
      <c r="K68" s="37">
        <v>5985</v>
      </c>
      <c r="L68" s="37">
        <v>3950</v>
      </c>
      <c r="M68" s="43">
        <v>162</v>
      </c>
      <c r="N68" s="40">
        <v>798</v>
      </c>
      <c r="O68" s="26">
        <v>1</v>
      </c>
      <c r="P68" s="26">
        <v>5</v>
      </c>
      <c r="Q68" s="26">
        <v>10</v>
      </c>
      <c r="R68" s="27">
        <v>20</v>
      </c>
      <c r="S68" s="37">
        <v>35</v>
      </c>
      <c r="T68" s="37">
        <v>35</v>
      </c>
      <c r="U68" s="37">
        <v>50</v>
      </c>
      <c r="V68" s="37">
        <v>75</v>
      </c>
      <c r="W68" s="37">
        <v>100</v>
      </c>
      <c r="X68" s="37">
        <v>150</v>
      </c>
      <c r="Y68" s="37">
        <v>200</v>
      </c>
      <c r="Z68" s="37">
        <v>250</v>
      </c>
      <c r="AA68" s="37">
        <v>500</v>
      </c>
      <c r="AB68" s="37">
        <v>750</v>
      </c>
      <c r="AC68" s="37">
        <v>1000</v>
      </c>
      <c r="AD68" s="37">
        <v>1500</v>
      </c>
      <c r="AE68" s="37">
        <v>3500</v>
      </c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24">
        <v>0</v>
      </c>
      <c r="AZ68" s="24">
        <v>36</v>
      </c>
      <c r="BA68" s="24">
        <v>25</v>
      </c>
      <c r="BB68" s="28">
        <v>38</v>
      </c>
      <c r="BC68" s="23">
        <v>22</v>
      </c>
      <c r="BD68" s="23">
        <v>3</v>
      </c>
      <c r="BE68" s="23">
        <v>16</v>
      </c>
      <c r="BF68" s="23">
        <v>2</v>
      </c>
      <c r="BG68" s="23">
        <v>6</v>
      </c>
      <c r="BH68" s="23">
        <v>2</v>
      </c>
      <c r="BI68" s="23">
        <v>2</v>
      </c>
      <c r="BJ68" s="23">
        <v>2</v>
      </c>
      <c r="BK68" s="23">
        <v>1</v>
      </c>
      <c r="BL68" s="23">
        <v>0</v>
      </c>
      <c r="BM68" s="23">
        <v>0</v>
      </c>
      <c r="BN68" s="23">
        <v>0</v>
      </c>
      <c r="BO68" s="23">
        <v>0</v>
      </c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3"/>
      <c r="CH68" s="23"/>
      <c r="CI6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8">
        <f>COUNTA(Table1[[#This Row],[Reward Level 1]:[Reward Level 36]])</f>
        <v>17</v>
      </c>
      <c r="CK68">
        <f>COUNTIF(Table1[[#This Row],[Backers Level 1]:[Backers Level 36]],"&gt;0")</f>
        <v>12</v>
      </c>
      <c r="CL68" s="49">
        <f>Table1[[#This Row],[Pledge]]/Table1[[#This Row],[Backers]]</f>
        <v>36.944444444444443</v>
      </c>
      <c r="CM68" s="32" t="str">
        <f>IF(Table1[[#This Row],[Pledge]]=Table1[[#This Row],[Pledge Count]],"OK!","N!")</f>
        <v>N!</v>
      </c>
      <c r="CN6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4815</v>
      </c>
      <c r="CO68" s="53">
        <f>Table1[[#This Row],[Pledge]]-Table1[[#This Row],[Pledge Count]]</f>
        <v>1170</v>
      </c>
      <c r="CP68" s="32" t="str">
        <f>IF(Table1[[#This Row],[Backers]]=Table1[[#This Row],[Backers Count]],"OK!","N!")</f>
        <v>N!</v>
      </c>
      <c r="CQ68" s="32">
        <f>SUM(Table1[[#This Row],[Backers Level 1]:[Backers Level 36]])</f>
        <v>155</v>
      </c>
      <c r="CR68" s="32">
        <f>Table1[[#This Row],[Backers]]-Table1[[#This Row],[Backers Count]]</f>
        <v>7</v>
      </c>
      <c r="CS6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36</v>
      </c>
      <c r="CT6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25</v>
      </c>
      <c r="CU6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38</v>
      </c>
      <c r="CV6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41</v>
      </c>
      <c r="CW6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6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6</v>
      </c>
      <c r="CY6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6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8"/>
      <c r="DE68"/>
      <c r="DG68"/>
      <c r="DI68"/>
      <c r="DK68"/>
      <c r="DM68"/>
      <c r="DO68"/>
      <c r="DQ68"/>
      <c r="DS68"/>
      <c r="DT68"/>
    </row>
    <row r="69" spans="1:124">
      <c r="A69" s="22" t="s">
        <v>331</v>
      </c>
      <c r="B69" s="25">
        <v>41334</v>
      </c>
      <c r="C69" s="23" t="s">
        <v>363</v>
      </c>
      <c r="D69" s="23" t="s">
        <v>364</v>
      </c>
      <c r="E69" s="24" t="s">
        <v>365</v>
      </c>
      <c r="F69" s="23" t="s">
        <v>11</v>
      </c>
      <c r="G69" s="44" t="s">
        <v>366</v>
      </c>
      <c r="H69" s="32" t="str">
        <f>RIGHT(Table1[[#This Row],[Location]],2)</f>
        <v>AZ</v>
      </c>
      <c r="I69" s="25">
        <v>41290</v>
      </c>
      <c r="J69" s="25">
        <v>41320</v>
      </c>
      <c r="K69" s="37">
        <v>1925</v>
      </c>
      <c r="L69" s="37">
        <v>1500</v>
      </c>
      <c r="M69" s="43">
        <v>51</v>
      </c>
      <c r="N69" s="40">
        <v>800</v>
      </c>
      <c r="O69" s="26">
        <v>1</v>
      </c>
      <c r="P69" s="26">
        <v>5</v>
      </c>
      <c r="Q69" s="26">
        <v>15</v>
      </c>
      <c r="R69" s="27">
        <v>25</v>
      </c>
      <c r="S69" s="37">
        <v>40</v>
      </c>
      <c r="T69" s="37">
        <v>60</v>
      </c>
      <c r="U69" s="37">
        <v>100</v>
      </c>
      <c r="V69" s="37">
        <v>300</v>
      </c>
      <c r="W69" s="37">
        <v>500</v>
      </c>
      <c r="X69" s="37">
        <v>1000</v>
      </c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37"/>
      <c r="AP69" s="37"/>
      <c r="AQ69" s="37"/>
      <c r="AR69" s="37"/>
      <c r="AS69" s="37"/>
      <c r="AT69" s="37"/>
      <c r="AU69" s="37"/>
      <c r="AV69" s="37"/>
      <c r="AW69" s="37"/>
      <c r="AX69" s="37"/>
      <c r="AY69" s="24">
        <v>0</v>
      </c>
      <c r="AZ69" s="24">
        <v>1</v>
      </c>
      <c r="BA69" s="24">
        <v>8</v>
      </c>
      <c r="BB69" s="28">
        <v>25</v>
      </c>
      <c r="BC69" s="23">
        <v>7</v>
      </c>
      <c r="BD69" s="23">
        <v>0</v>
      </c>
      <c r="BE69" s="23">
        <v>8</v>
      </c>
      <c r="BF69" s="23">
        <v>0</v>
      </c>
      <c r="BG69" s="23">
        <v>0</v>
      </c>
      <c r="BH69" s="23">
        <v>0</v>
      </c>
      <c r="BI69" s="23"/>
      <c r="BJ69" s="23"/>
      <c r="BK69" s="23"/>
      <c r="BL69" s="23"/>
      <c r="BM69" s="23"/>
      <c r="BN69" s="23"/>
      <c r="BO69" s="23"/>
      <c r="BP69" s="23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  <c r="CC69" s="23"/>
      <c r="CD69" s="23"/>
      <c r="CE69" s="23"/>
      <c r="CF69" s="23"/>
      <c r="CG69" s="23"/>
      <c r="CH69" s="23"/>
      <c r="CI6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69">
        <f>COUNTA(Table1[[#This Row],[Reward Level 1]:[Reward Level 36]])</f>
        <v>10</v>
      </c>
      <c r="CK69">
        <f>COUNTIF(Table1[[#This Row],[Backers Level 1]:[Backers Level 36]],"&gt;0")</f>
        <v>5</v>
      </c>
      <c r="CL69" s="49">
        <f>Table1[[#This Row],[Pledge]]/Table1[[#This Row],[Backers]]</f>
        <v>37.745098039215684</v>
      </c>
      <c r="CM69" s="32" t="str">
        <f>IF(Table1[[#This Row],[Pledge]]=Table1[[#This Row],[Pledge Count]],"OK!","N!")</f>
        <v>N!</v>
      </c>
      <c r="CN6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1830</v>
      </c>
      <c r="CO69" s="53">
        <f>Table1[[#This Row],[Pledge]]-Table1[[#This Row],[Pledge Count]]</f>
        <v>95</v>
      </c>
      <c r="CP69" s="32" t="str">
        <f>IF(Table1[[#This Row],[Backers]]=Table1[[#This Row],[Backers Count]],"OK!","N!")</f>
        <v>N!</v>
      </c>
      <c r="CQ69" s="32">
        <f>SUM(Table1[[#This Row],[Backers Level 1]:[Backers Level 36]])</f>
        <v>49</v>
      </c>
      <c r="CR69" s="32">
        <f>Table1[[#This Row],[Backers]]-Table1[[#This Row],[Backers Count]]</f>
        <v>2</v>
      </c>
      <c r="CS6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6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6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33</v>
      </c>
      <c r="CV6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7</v>
      </c>
      <c r="CW6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8</v>
      </c>
      <c r="CX6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6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6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6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6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69"/>
      <c r="DE69"/>
      <c r="DG69"/>
      <c r="DI69"/>
      <c r="DK69"/>
      <c r="DM69"/>
      <c r="DO69"/>
      <c r="DQ69"/>
      <c r="DS69"/>
      <c r="DT69"/>
    </row>
    <row r="70" spans="1:124">
      <c r="A70" s="22" t="s">
        <v>332</v>
      </c>
      <c r="B70" s="25">
        <v>41334</v>
      </c>
      <c r="C70" s="23" t="s">
        <v>367</v>
      </c>
      <c r="D70" s="23" t="s">
        <v>368</v>
      </c>
      <c r="E70" s="24" t="s">
        <v>369</v>
      </c>
      <c r="F70" s="23" t="s">
        <v>269</v>
      </c>
      <c r="G70" s="44" t="s">
        <v>370</v>
      </c>
      <c r="H70" s="32" t="str">
        <f>RIGHT(Table1[[#This Row],[Location]],2)</f>
        <v>PA</v>
      </c>
      <c r="I70" s="25">
        <v>41290</v>
      </c>
      <c r="J70" s="25">
        <v>41320</v>
      </c>
      <c r="K70" s="37">
        <v>2237</v>
      </c>
      <c r="L70" s="37">
        <v>2200</v>
      </c>
      <c r="M70" s="43">
        <v>56</v>
      </c>
      <c r="N70" s="40">
        <v>2892</v>
      </c>
      <c r="O70" s="26">
        <v>2</v>
      </c>
      <c r="P70" s="26">
        <v>5</v>
      </c>
      <c r="Q70" s="26">
        <v>10</v>
      </c>
      <c r="R70" s="27">
        <v>20</v>
      </c>
      <c r="S70" s="37">
        <v>40</v>
      </c>
      <c r="T70" s="37">
        <v>80</v>
      </c>
      <c r="U70" s="37">
        <v>120</v>
      </c>
      <c r="V70" s="37">
        <v>250</v>
      </c>
      <c r="W70" s="37">
        <v>500</v>
      </c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24">
        <v>1</v>
      </c>
      <c r="AZ70" s="24">
        <v>4</v>
      </c>
      <c r="BA70" s="24">
        <v>11</v>
      </c>
      <c r="BB70" s="28">
        <v>25</v>
      </c>
      <c r="BC70" s="23">
        <v>8</v>
      </c>
      <c r="BD70" s="23">
        <v>2</v>
      </c>
      <c r="BE70" s="23">
        <v>2</v>
      </c>
      <c r="BF70" s="23">
        <v>1</v>
      </c>
      <c r="BG70" s="23">
        <v>1</v>
      </c>
      <c r="BH70" s="23"/>
      <c r="BI70" s="23"/>
      <c r="BJ70" s="23"/>
      <c r="BK70" s="23"/>
      <c r="BL70" s="23"/>
      <c r="BM70" s="23"/>
      <c r="BN70" s="23"/>
      <c r="BO70" s="23"/>
      <c r="BP70" s="23"/>
      <c r="BQ70" s="23"/>
      <c r="BR70" s="23"/>
      <c r="BS70" s="23"/>
      <c r="BT70" s="23"/>
      <c r="BU70" s="23"/>
      <c r="BV70" s="23"/>
      <c r="BW70" s="23"/>
      <c r="BX70" s="23"/>
      <c r="BY70" s="23"/>
      <c r="BZ70" s="23"/>
      <c r="CA70" s="23"/>
      <c r="CB70" s="23"/>
      <c r="CC70" s="23"/>
      <c r="CD70" s="23"/>
      <c r="CE70" s="23"/>
      <c r="CF70" s="23"/>
      <c r="CG70" s="23"/>
      <c r="CH70" s="23"/>
      <c r="CI7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0">
        <f>COUNTA(Table1[[#This Row],[Reward Level 1]:[Reward Level 36]])</f>
        <v>9</v>
      </c>
      <c r="CK70">
        <f>COUNTIF(Table1[[#This Row],[Backers Level 1]:[Backers Level 36]],"&gt;0")</f>
        <v>9</v>
      </c>
      <c r="CL70" s="49">
        <f>Table1[[#This Row],[Pledge]]/Table1[[#This Row],[Backers]]</f>
        <v>39.946428571428569</v>
      </c>
      <c r="CM70" s="32" t="str">
        <f>IF(Table1[[#This Row],[Pledge]]=Table1[[#This Row],[Pledge Count]],"OK!","N!")</f>
        <v>N!</v>
      </c>
      <c r="CN7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2102</v>
      </c>
      <c r="CO70" s="53">
        <f>Table1[[#This Row],[Pledge]]-Table1[[#This Row],[Pledge Count]]</f>
        <v>135</v>
      </c>
      <c r="CP70" s="32" t="str">
        <f>IF(Table1[[#This Row],[Backers]]=Table1[[#This Row],[Backers Count]],"OK!","N!")</f>
        <v>N!</v>
      </c>
      <c r="CQ70" s="32">
        <f>SUM(Table1[[#This Row],[Backers Level 1]:[Backers Level 36]])</f>
        <v>55</v>
      </c>
      <c r="CR70" s="32">
        <f>Table1[[#This Row],[Backers]]-Table1[[#This Row],[Backers Count]]</f>
        <v>1</v>
      </c>
      <c r="CS7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</v>
      </c>
      <c r="CT7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11</v>
      </c>
      <c r="CU7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25</v>
      </c>
      <c r="CV7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7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</v>
      </c>
      <c r="CX7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7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7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0"/>
      <c r="DE70"/>
      <c r="DG70"/>
      <c r="DI70"/>
      <c r="DK70"/>
      <c r="DM70"/>
      <c r="DO70"/>
      <c r="DQ70"/>
      <c r="DS70"/>
      <c r="DT70"/>
    </row>
    <row r="71" spans="1:124">
      <c r="A71" s="22" t="s">
        <v>333</v>
      </c>
      <c r="B71" s="25">
        <v>41334</v>
      </c>
      <c r="C71" s="23" t="s">
        <v>401</v>
      </c>
      <c r="D71" s="23" t="s">
        <v>402</v>
      </c>
      <c r="E71" s="24" t="s">
        <v>403</v>
      </c>
      <c r="F71" s="23" t="s">
        <v>11</v>
      </c>
      <c r="G71" s="44" t="s">
        <v>404</v>
      </c>
      <c r="H71" s="32" t="str">
        <f>RIGHT(Table1[[#This Row],[Location]],2)</f>
        <v>KY</v>
      </c>
      <c r="I71" s="25">
        <v>41299</v>
      </c>
      <c r="J71" s="25">
        <v>41320</v>
      </c>
      <c r="K71" s="37">
        <v>3318</v>
      </c>
      <c r="L71" s="37">
        <v>3000</v>
      </c>
      <c r="M71" s="43">
        <v>57</v>
      </c>
      <c r="N71" s="40"/>
      <c r="O71" s="26">
        <v>5</v>
      </c>
      <c r="P71" s="26">
        <v>20</v>
      </c>
      <c r="Q71" s="26">
        <v>35</v>
      </c>
      <c r="R71" s="27">
        <v>60</v>
      </c>
      <c r="S71" s="37">
        <v>100</v>
      </c>
      <c r="T71" s="37">
        <v>200</v>
      </c>
      <c r="U71" s="37">
        <v>350</v>
      </c>
      <c r="V71" s="37">
        <v>500</v>
      </c>
      <c r="W71" s="37">
        <v>1000</v>
      </c>
      <c r="X71" s="37">
        <v>2500</v>
      </c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37"/>
      <c r="AL71" s="37"/>
      <c r="AM71" s="37"/>
      <c r="AN71" s="37"/>
      <c r="AO71" s="37"/>
      <c r="AP71" s="37"/>
      <c r="AQ71" s="37"/>
      <c r="AR71" s="37"/>
      <c r="AS71" s="37"/>
      <c r="AT71" s="37"/>
      <c r="AU71" s="37"/>
      <c r="AV71" s="37"/>
      <c r="AW71" s="37"/>
      <c r="AX71" s="37"/>
      <c r="AY71" s="24">
        <v>3</v>
      </c>
      <c r="AZ71" s="24">
        <v>4</v>
      </c>
      <c r="BA71" s="24">
        <v>11</v>
      </c>
      <c r="BB71" s="28">
        <v>4</v>
      </c>
      <c r="BC71" s="23">
        <v>10</v>
      </c>
      <c r="BD71" s="23">
        <v>0</v>
      </c>
      <c r="BE71" s="23">
        <v>0</v>
      </c>
      <c r="BF71" s="23">
        <v>0</v>
      </c>
      <c r="BG71" s="23">
        <v>0</v>
      </c>
      <c r="BH71" s="23">
        <v>0</v>
      </c>
      <c r="BI71" s="23"/>
      <c r="BJ71" s="23"/>
      <c r="BK71" s="23"/>
      <c r="BL71" s="23"/>
      <c r="BM71" s="23"/>
      <c r="BN71" s="23"/>
      <c r="BO71" s="23"/>
      <c r="BP71" s="23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3"/>
      <c r="CH71" s="23"/>
      <c r="CI7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1">
        <f>COUNTA(Table1[[#This Row],[Reward Level 1]:[Reward Level 36]])</f>
        <v>10</v>
      </c>
      <c r="CK71">
        <f>COUNTIF(Table1[[#This Row],[Backers Level 1]:[Backers Level 36]],"&gt;0")</f>
        <v>5</v>
      </c>
      <c r="CL71" s="49">
        <f>Table1[[#This Row],[Pledge]]/Table1[[#This Row],[Backers]]</f>
        <v>58.210526315789473</v>
      </c>
      <c r="CM71" s="32" t="str">
        <f>IF(Table1[[#This Row],[Pledge]]=Table1[[#This Row],[Pledge Count]],"OK!","N!")</f>
        <v>N!</v>
      </c>
      <c r="CN7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1720</v>
      </c>
      <c r="CO71" s="53">
        <f>Table1[[#This Row],[Pledge]]-Table1[[#This Row],[Pledge Count]]</f>
        <v>1598</v>
      </c>
      <c r="CP71" s="32" t="str">
        <f>IF(Table1[[#This Row],[Backers]]=Table1[[#This Row],[Backers Count]],"OK!","N!")</f>
        <v>N!</v>
      </c>
      <c r="CQ71" s="32">
        <f>SUM(Table1[[#This Row],[Backers Level 1]:[Backers Level 36]])</f>
        <v>32</v>
      </c>
      <c r="CR71" s="32">
        <f>Table1[[#This Row],[Backers]]-Table1[[#This Row],[Backers Count]]</f>
        <v>25</v>
      </c>
      <c r="CS7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7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7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</v>
      </c>
      <c r="CV7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11</v>
      </c>
      <c r="CW7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14</v>
      </c>
      <c r="CX7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7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1"/>
      <c r="DE71"/>
      <c r="DG71"/>
      <c r="DI71"/>
      <c r="DK71"/>
      <c r="DM71"/>
      <c r="DO71"/>
      <c r="DQ71"/>
      <c r="DS71"/>
      <c r="DT71"/>
    </row>
    <row r="72" spans="1:124">
      <c r="A72" s="22" t="s">
        <v>371</v>
      </c>
      <c r="B72" s="25">
        <v>41334</v>
      </c>
      <c r="C72" s="23" t="s">
        <v>405</v>
      </c>
      <c r="D72" s="23" t="s">
        <v>406</v>
      </c>
      <c r="E72" s="24" t="s">
        <v>407</v>
      </c>
      <c r="F72" s="23" t="s">
        <v>87</v>
      </c>
      <c r="G72" s="44" t="s">
        <v>408</v>
      </c>
      <c r="H72" s="32" t="str">
        <f>RIGHT(Table1[[#This Row],[Location]],2)</f>
        <v>WA</v>
      </c>
      <c r="I72" s="25">
        <v>41290</v>
      </c>
      <c r="J72" s="25">
        <v>41320</v>
      </c>
      <c r="K72" s="37">
        <v>710</v>
      </c>
      <c r="L72" s="37">
        <v>500</v>
      </c>
      <c r="M72" s="43">
        <v>15</v>
      </c>
      <c r="N72" s="40"/>
      <c r="O72" s="26">
        <v>2</v>
      </c>
      <c r="P72" s="26">
        <v>6</v>
      </c>
      <c r="Q72" s="26">
        <v>8</v>
      </c>
      <c r="R72" s="27">
        <v>10</v>
      </c>
      <c r="S72" s="37">
        <v>15</v>
      </c>
      <c r="T72" s="37">
        <v>20</v>
      </c>
      <c r="U72" s="37">
        <v>50</v>
      </c>
      <c r="V72" s="37">
        <v>100</v>
      </c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7"/>
      <c r="AY72" s="24">
        <v>0</v>
      </c>
      <c r="AZ72" s="24">
        <v>0</v>
      </c>
      <c r="BA72" s="24">
        <v>0</v>
      </c>
      <c r="BB72" s="28">
        <v>1</v>
      </c>
      <c r="BC72" s="23">
        <v>2</v>
      </c>
      <c r="BD72" s="23">
        <v>5</v>
      </c>
      <c r="BE72" s="23">
        <v>3</v>
      </c>
      <c r="BF72" s="23">
        <v>1</v>
      </c>
      <c r="BG72" s="23"/>
      <c r="BH72" s="23"/>
      <c r="BI72" s="23"/>
      <c r="BJ72" s="23"/>
      <c r="BK72" s="23"/>
      <c r="BL72" s="23"/>
      <c r="BM72" s="23"/>
      <c r="BN72" s="23"/>
      <c r="BO72" s="23"/>
      <c r="BP72" s="23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3"/>
      <c r="CH72" s="23"/>
      <c r="CI7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72">
        <f>COUNTA(Table1[[#This Row],[Reward Level 1]:[Reward Level 36]])</f>
        <v>8</v>
      </c>
      <c r="CK72">
        <f>COUNTIF(Table1[[#This Row],[Backers Level 1]:[Backers Level 36]],"&gt;0")</f>
        <v>5</v>
      </c>
      <c r="CL72" s="49">
        <f>Table1[[#This Row],[Pledge]]/Table1[[#This Row],[Backers]]</f>
        <v>47.333333333333336</v>
      </c>
      <c r="CM72" s="32" t="str">
        <f>IF(Table1[[#This Row],[Pledge]]=Table1[[#This Row],[Pledge Count]],"OK!","N!")</f>
        <v>N!</v>
      </c>
      <c r="CN7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390</v>
      </c>
      <c r="CO72" s="53">
        <f>Table1[[#This Row],[Pledge]]-Table1[[#This Row],[Pledge Count]]</f>
        <v>320</v>
      </c>
      <c r="CP72" s="32" t="str">
        <f>IF(Table1[[#This Row],[Backers]]=Table1[[#This Row],[Backers Count]],"OK!","N!")</f>
        <v>N!</v>
      </c>
      <c r="CQ72" s="32">
        <f>SUM(Table1[[#This Row],[Backers Level 1]:[Backers Level 36]])</f>
        <v>12</v>
      </c>
      <c r="CR72" s="32">
        <f>Table1[[#This Row],[Backers]]-Table1[[#This Row],[Backers Count]]</f>
        <v>3</v>
      </c>
      <c r="CS7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7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7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7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7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7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2"/>
      <c r="DE72"/>
      <c r="DG72"/>
      <c r="DI72"/>
      <c r="DK72"/>
      <c r="DM72"/>
      <c r="DO72"/>
      <c r="DQ72"/>
      <c r="DS72"/>
      <c r="DT72"/>
    </row>
    <row r="73" spans="1:124">
      <c r="A73" s="22" t="s">
        <v>372</v>
      </c>
      <c r="B73" s="25">
        <v>41334</v>
      </c>
      <c r="C73" s="23" t="s">
        <v>409</v>
      </c>
      <c r="D73" s="23" t="s">
        <v>410</v>
      </c>
      <c r="E73" s="24" t="s">
        <v>411</v>
      </c>
      <c r="F73" s="23" t="s">
        <v>11</v>
      </c>
      <c r="G73" s="44" t="s">
        <v>52</v>
      </c>
      <c r="H73" s="32" t="str">
        <f>RIGHT(Table1[[#This Row],[Location]],2)</f>
        <v>NY</v>
      </c>
      <c r="I73" s="25">
        <v>41314</v>
      </c>
      <c r="J73" s="25">
        <v>41320</v>
      </c>
      <c r="K73" s="37">
        <v>890</v>
      </c>
      <c r="L73" s="37">
        <v>850</v>
      </c>
      <c r="M73" s="43">
        <v>23</v>
      </c>
      <c r="N73" s="40">
        <v>178</v>
      </c>
      <c r="O73" s="26">
        <v>10</v>
      </c>
      <c r="P73" s="26">
        <v>20</v>
      </c>
      <c r="Q73" s="26">
        <v>50</v>
      </c>
      <c r="R73" s="27">
        <v>100</v>
      </c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24">
        <v>3</v>
      </c>
      <c r="AZ73" s="24">
        <v>6</v>
      </c>
      <c r="BA73" s="24">
        <v>0</v>
      </c>
      <c r="BB73" s="28">
        <v>3</v>
      </c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3"/>
      <c r="BP73" s="23"/>
      <c r="BQ73" s="23"/>
      <c r="BR73" s="23"/>
      <c r="BS73" s="23"/>
      <c r="BT73" s="23"/>
      <c r="BU73" s="23"/>
      <c r="BV73" s="23"/>
      <c r="BW73" s="23"/>
      <c r="BX73" s="23"/>
      <c r="BY73" s="23"/>
      <c r="BZ73" s="23"/>
      <c r="CA73" s="23"/>
      <c r="CB73" s="23"/>
      <c r="CC73" s="23"/>
      <c r="CD73" s="23"/>
      <c r="CE73" s="23"/>
      <c r="CF73" s="23"/>
      <c r="CG73" s="23"/>
      <c r="CH73" s="23"/>
      <c r="CI7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73">
        <f>COUNTA(Table1[[#This Row],[Reward Level 1]:[Reward Level 36]])</f>
        <v>4</v>
      </c>
      <c r="CK73">
        <f>COUNTIF(Table1[[#This Row],[Backers Level 1]:[Backers Level 36]],"&gt;0")</f>
        <v>3</v>
      </c>
      <c r="CL73" s="49">
        <f>Table1[[#This Row],[Pledge]]/Table1[[#This Row],[Backers]]</f>
        <v>38.695652173913047</v>
      </c>
      <c r="CM73" s="32" t="str">
        <f>IF(Table1[[#This Row],[Pledge]]=Table1[[#This Row],[Pledge Count]],"OK!","N!")</f>
        <v>N!</v>
      </c>
      <c r="CN7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450</v>
      </c>
      <c r="CO73" s="53">
        <f>Table1[[#This Row],[Pledge]]-Table1[[#This Row],[Pledge Count]]</f>
        <v>440</v>
      </c>
      <c r="CP73" s="32" t="str">
        <f>IF(Table1[[#This Row],[Backers]]=Table1[[#This Row],[Backers Count]],"OK!","N!")</f>
        <v>N!</v>
      </c>
      <c r="CQ73" s="32">
        <f>SUM(Table1[[#This Row],[Backers Level 1]:[Backers Level 36]])</f>
        <v>12</v>
      </c>
      <c r="CR73" s="32">
        <f>Table1[[#This Row],[Backers]]-Table1[[#This Row],[Backers Count]]</f>
        <v>11</v>
      </c>
      <c r="CS7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</v>
      </c>
      <c r="CU7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6</v>
      </c>
      <c r="CV7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7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3</v>
      </c>
      <c r="CX7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7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3"/>
      <c r="DE73"/>
      <c r="DG73"/>
      <c r="DI73"/>
      <c r="DK73"/>
      <c r="DM73"/>
      <c r="DO73"/>
      <c r="DQ73"/>
      <c r="DS73"/>
      <c r="DT73"/>
    </row>
    <row r="74" spans="1:124">
      <c r="A74" s="22" t="s">
        <v>373</v>
      </c>
      <c r="B74" s="25">
        <v>41334</v>
      </c>
      <c r="C74" s="23" t="s">
        <v>412</v>
      </c>
      <c r="D74" s="23" t="s">
        <v>413</v>
      </c>
      <c r="E74" s="24" t="s">
        <v>414</v>
      </c>
      <c r="F74" s="23" t="s">
        <v>74</v>
      </c>
      <c r="G74" s="44" t="s">
        <v>415</v>
      </c>
      <c r="H74" s="32" t="str">
        <f>RIGHT(Table1[[#This Row],[Location]],2)</f>
        <v>CA</v>
      </c>
      <c r="I74" s="25">
        <v>41274</v>
      </c>
      <c r="J74" s="25">
        <v>41320</v>
      </c>
      <c r="K74" s="37">
        <v>14804</v>
      </c>
      <c r="L74" s="37">
        <v>6000</v>
      </c>
      <c r="M74" s="43">
        <v>668</v>
      </c>
      <c r="N74" s="40">
        <v>2836</v>
      </c>
      <c r="O74" s="26">
        <v>1</v>
      </c>
      <c r="P74" s="26">
        <v>5</v>
      </c>
      <c r="Q74" s="26">
        <v>14</v>
      </c>
      <c r="R74" s="27">
        <v>15</v>
      </c>
      <c r="S74" s="37">
        <v>25</v>
      </c>
      <c r="T74" s="37">
        <v>45</v>
      </c>
      <c r="U74" s="37">
        <v>50</v>
      </c>
      <c r="V74" s="37">
        <v>51</v>
      </c>
      <c r="W74" s="37">
        <v>60</v>
      </c>
      <c r="X74" s="37">
        <v>75</v>
      </c>
      <c r="Y74" s="37">
        <v>100</v>
      </c>
      <c r="Z74" s="37">
        <v>101</v>
      </c>
      <c r="AA74" s="37">
        <v>120</v>
      </c>
      <c r="AB74" s="37">
        <v>600</v>
      </c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7"/>
      <c r="AR74" s="37"/>
      <c r="AS74" s="37"/>
      <c r="AT74" s="37"/>
      <c r="AU74" s="37"/>
      <c r="AV74" s="37"/>
      <c r="AW74" s="37"/>
      <c r="AX74" s="37"/>
      <c r="AY74" s="24">
        <v>7</v>
      </c>
      <c r="AZ74" s="24">
        <v>286</v>
      </c>
      <c r="BA74" s="24">
        <v>15</v>
      </c>
      <c r="BB74" s="28">
        <v>138</v>
      </c>
      <c r="BC74" s="23">
        <v>121</v>
      </c>
      <c r="BD74" s="23">
        <v>16</v>
      </c>
      <c r="BE74" s="23">
        <v>25</v>
      </c>
      <c r="BF74" s="23">
        <v>27</v>
      </c>
      <c r="BG74" s="23">
        <v>5</v>
      </c>
      <c r="BH74" s="23">
        <v>0</v>
      </c>
      <c r="BI74" s="23">
        <v>11</v>
      </c>
      <c r="BJ74" s="23">
        <v>3</v>
      </c>
      <c r="BK74" s="23">
        <v>9</v>
      </c>
      <c r="BL74" s="23">
        <v>1</v>
      </c>
      <c r="BM74" s="23"/>
      <c r="BN74" s="23"/>
      <c r="BO74" s="23"/>
      <c r="BP74" s="23"/>
      <c r="BQ74" s="23"/>
      <c r="BR74" s="23"/>
      <c r="BS74" s="23"/>
      <c r="BT74" s="23"/>
      <c r="BU74" s="23"/>
      <c r="BV74" s="23"/>
      <c r="BW74" s="23"/>
      <c r="BX74" s="23"/>
      <c r="BY74" s="23"/>
      <c r="BZ74" s="23"/>
      <c r="CA74" s="23"/>
      <c r="CB74" s="23"/>
      <c r="CC74" s="23"/>
      <c r="CD74" s="23"/>
      <c r="CE74" s="23"/>
      <c r="CF74" s="23"/>
      <c r="CG74" s="23"/>
      <c r="CH74" s="23"/>
      <c r="CI7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74">
        <f>COUNTA(Table1[[#This Row],[Reward Level 1]:[Reward Level 36]])</f>
        <v>14</v>
      </c>
      <c r="CK74">
        <f>COUNTIF(Table1[[#This Row],[Backers Level 1]:[Backers Level 36]],"&gt;0")</f>
        <v>13</v>
      </c>
      <c r="CL74" s="49">
        <f>Table1[[#This Row],[Pledge]]/Table1[[#This Row],[Backers]]</f>
        <v>22.161676646706585</v>
      </c>
      <c r="CM74" s="32" t="str">
        <f>IF(Table1[[#This Row],[Pledge]]=Table1[[#This Row],[Pledge Count]],"OK!","N!")</f>
        <v>N!</v>
      </c>
      <c r="CN7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11792</v>
      </c>
      <c r="CO74" s="53">
        <f>Table1[[#This Row],[Pledge]]-Table1[[#This Row],[Pledge Count]]</f>
        <v>3012</v>
      </c>
      <c r="CP74" s="32" t="str">
        <f>IF(Table1[[#This Row],[Backers]]=Table1[[#This Row],[Backers Count]],"OK!","N!")</f>
        <v>N!</v>
      </c>
      <c r="CQ74" s="32">
        <f>SUM(Table1[[#This Row],[Backers Level 1]:[Backers Level 36]])</f>
        <v>664</v>
      </c>
      <c r="CR74" s="32">
        <f>Table1[[#This Row],[Backers]]-Table1[[#This Row],[Backers Count]]</f>
        <v>4</v>
      </c>
      <c r="CS7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293</v>
      </c>
      <c r="CT7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7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274</v>
      </c>
      <c r="CV7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41</v>
      </c>
      <c r="CW7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43</v>
      </c>
      <c r="CX7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12</v>
      </c>
      <c r="CY7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7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4"/>
      <c r="DE74"/>
      <c r="DG74"/>
      <c r="DI74"/>
      <c r="DK74"/>
      <c r="DM74"/>
      <c r="DO74"/>
      <c r="DQ74"/>
      <c r="DS74"/>
      <c r="DT74"/>
    </row>
    <row r="75" spans="1:124">
      <c r="A75" s="22" t="s">
        <v>374</v>
      </c>
      <c r="B75" s="25">
        <v>41334</v>
      </c>
      <c r="C75" s="23" t="s">
        <v>416</v>
      </c>
      <c r="D75" s="23" t="s">
        <v>417</v>
      </c>
      <c r="E75" s="24" t="s">
        <v>418</v>
      </c>
      <c r="F75" s="23" t="s">
        <v>11</v>
      </c>
      <c r="G75" s="44" t="s">
        <v>419</v>
      </c>
      <c r="H75" s="32" t="str">
        <f>RIGHT(Table1[[#This Row],[Location]],2)</f>
        <v>CA</v>
      </c>
      <c r="I75" s="25">
        <v>41290</v>
      </c>
      <c r="J75" s="25">
        <v>41320</v>
      </c>
      <c r="K75" s="37">
        <v>4886</v>
      </c>
      <c r="L75" s="37">
        <v>4500</v>
      </c>
      <c r="M75" s="43">
        <v>67</v>
      </c>
      <c r="N75" s="40">
        <v>1020</v>
      </c>
      <c r="O75" s="26">
        <v>1</v>
      </c>
      <c r="P75" s="26">
        <v>5</v>
      </c>
      <c r="Q75" s="26">
        <v>10</v>
      </c>
      <c r="R75" s="27">
        <v>20</v>
      </c>
      <c r="S75" s="37">
        <v>40</v>
      </c>
      <c r="T75" s="37">
        <v>80</v>
      </c>
      <c r="U75" s="37">
        <v>120</v>
      </c>
      <c r="V75" s="37">
        <v>250</v>
      </c>
      <c r="W75" s="37">
        <v>500</v>
      </c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24">
        <v>1</v>
      </c>
      <c r="AZ75" s="24">
        <v>1</v>
      </c>
      <c r="BA75" s="24">
        <v>18</v>
      </c>
      <c r="BB75" s="28">
        <v>22</v>
      </c>
      <c r="BC75" s="23">
        <v>10</v>
      </c>
      <c r="BD75" s="23">
        <v>5</v>
      </c>
      <c r="BE75" s="23">
        <v>5</v>
      </c>
      <c r="BF75" s="23">
        <v>0</v>
      </c>
      <c r="BG75" s="23">
        <v>1</v>
      </c>
      <c r="BH75" s="23"/>
      <c r="BI75" s="23"/>
      <c r="BJ75" s="23"/>
      <c r="BK75" s="23"/>
      <c r="BL75" s="23"/>
      <c r="BM75" s="23"/>
      <c r="BN75" s="23"/>
      <c r="BO75" s="23"/>
      <c r="BP75" s="23"/>
      <c r="BQ75" s="23"/>
      <c r="BR75" s="23"/>
      <c r="BS75" s="23"/>
      <c r="BT75" s="23"/>
      <c r="BU75" s="23"/>
      <c r="BV75" s="23"/>
      <c r="BW75" s="23"/>
      <c r="BX75" s="23"/>
      <c r="BY75" s="23"/>
      <c r="BZ75" s="23"/>
      <c r="CA75" s="23"/>
      <c r="CB75" s="23"/>
      <c r="CC75" s="23"/>
      <c r="CD75" s="23"/>
      <c r="CE75" s="23"/>
      <c r="CF75" s="23"/>
      <c r="CG75" s="23"/>
      <c r="CH75" s="23"/>
      <c r="CI7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5">
        <f>COUNTA(Table1[[#This Row],[Reward Level 1]:[Reward Level 36]])</f>
        <v>9</v>
      </c>
      <c r="CK75">
        <f>COUNTIF(Table1[[#This Row],[Backers Level 1]:[Backers Level 36]],"&gt;0")</f>
        <v>8</v>
      </c>
      <c r="CL75" s="49">
        <f>Table1[[#This Row],[Pledge]]/Table1[[#This Row],[Backers]]</f>
        <v>72.925373134328353</v>
      </c>
      <c r="CM75" s="32" t="str">
        <f>IF(Table1[[#This Row],[Pledge]]=Table1[[#This Row],[Pledge Count]],"OK!","N!")</f>
        <v>N!</v>
      </c>
      <c r="CN7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2526</v>
      </c>
      <c r="CO75" s="53">
        <f>Table1[[#This Row],[Pledge]]-Table1[[#This Row],[Pledge Count]]</f>
        <v>2360</v>
      </c>
      <c r="CP75" s="32" t="str">
        <f>IF(Table1[[#This Row],[Backers]]=Table1[[#This Row],[Backers Count]],"OK!","N!")</f>
        <v>N!</v>
      </c>
      <c r="CQ75" s="32">
        <f>SUM(Table1[[#This Row],[Backers Level 1]:[Backers Level 36]])</f>
        <v>63</v>
      </c>
      <c r="CR75" s="32">
        <f>Table1[[#This Row],[Backers]]-Table1[[#This Row],[Backers Count]]</f>
        <v>4</v>
      </c>
      <c r="CS7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2</v>
      </c>
      <c r="CT7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18</v>
      </c>
      <c r="CU7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7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10</v>
      </c>
      <c r="CW7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7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5</v>
      </c>
      <c r="CY7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7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5"/>
      <c r="DE75"/>
      <c r="DG75"/>
      <c r="DI75"/>
      <c r="DK75"/>
      <c r="DM75"/>
      <c r="DO75"/>
      <c r="DQ75"/>
      <c r="DS75"/>
      <c r="DT75"/>
    </row>
    <row r="76" spans="1:124">
      <c r="A76" s="22" t="s">
        <v>375</v>
      </c>
      <c r="B76" s="25">
        <v>41334</v>
      </c>
      <c r="C76" s="23" t="s">
        <v>420</v>
      </c>
      <c r="D76" s="23" t="s">
        <v>421</v>
      </c>
      <c r="E76" s="24" t="s">
        <v>422</v>
      </c>
      <c r="F76" s="23" t="s">
        <v>87</v>
      </c>
      <c r="G76" s="44" t="s">
        <v>423</v>
      </c>
      <c r="H76" s="32" t="str">
        <f>RIGHT(Table1[[#This Row],[Location]],2)</f>
        <v>SC</v>
      </c>
      <c r="I76" s="25">
        <v>41299</v>
      </c>
      <c r="J76" s="25">
        <v>41320</v>
      </c>
      <c r="K76" s="37">
        <v>5825</v>
      </c>
      <c r="L76" s="37">
        <v>5500</v>
      </c>
      <c r="M76" s="43">
        <v>122</v>
      </c>
      <c r="N76" s="40"/>
      <c r="O76" s="26">
        <v>10</v>
      </c>
      <c r="P76" s="26">
        <v>25</v>
      </c>
      <c r="Q76" s="26">
        <v>50</v>
      </c>
      <c r="R76" s="27">
        <v>75</v>
      </c>
      <c r="S76" s="37">
        <v>100</v>
      </c>
      <c r="T76" s="37">
        <v>100</v>
      </c>
      <c r="U76" s="37">
        <v>200</v>
      </c>
      <c r="V76" s="37">
        <v>200</v>
      </c>
      <c r="W76" s="37">
        <v>300</v>
      </c>
      <c r="X76" s="37">
        <v>300</v>
      </c>
      <c r="Y76" s="37">
        <v>500</v>
      </c>
      <c r="Z76" s="37">
        <v>500</v>
      </c>
      <c r="AA76" s="37">
        <v>1000</v>
      </c>
      <c r="AB76" s="37">
        <v>1000</v>
      </c>
      <c r="AC76" s="37">
        <v>2750</v>
      </c>
      <c r="AD76" s="37">
        <v>5500</v>
      </c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24">
        <v>54</v>
      </c>
      <c r="AZ76" s="24">
        <v>24</v>
      </c>
      <c r="BA76" s="24">
        <v>18</v>
      </c>
      <c r="BB76" s="28">
        <v>7</v>
      </c>
      <c r="BC76" s="23">
        <v>1</v>
      </c>
      <c r="BD76" s="23">
        <v>8</v>
      </c>
      <c r="BE76" s="23">
        <v>0</v>
      </c>
      <c r="BF76" s="23">
        <v>1</v>
      </c>
      <c r="BG76" s="23">
        <v>0</v>
      </c>
      <c r="BH76" s="23">
        <v>0</v>
      </c>
      <c r="BI76" s="23">
        <v>1</v>
      </c>
      <c r="BJ76" s="23">
        <v>1</v>
      </c>
      <c r="BK76" s="23">
        <v>0</v>
      </c>
      <c r="BL76" s="23">
        <v>0</v>
      </c>
      <c r="BM76" s="23">
        <v>0</v>
      </c>
      <c r="BN76" s="23">
        <v>0</v>
      </c>
      <c r="BO76" s="23"/>
      <c r="BP76" s="23"/>
      <c r="BQ76" s="23"/>
      <c r="BR76" s="23"/>
      <c r="BS76" s="23"/>
      <c r="BT76" s="23"/>
      <c r="BU76" s="23"/>
      <c r="BV76" s="23"/>
      <c r="BW76" s="23"/>
      <c r="BX76" s="23"/>
      <c r="BY76" s="23"/>
      <c r="BZ76" s="23"/>
      <c r="CA76" s="23"/>
      <c r="CB76" s="23"/>
      <c r="CC76" s="23"/>
      <c r="CD76" s="23"/>
      <c r="CE76" s="23"/>
      <c r="CF76" s="23"/>
      <c r="CG76" s="23"/>
      <c r="CH76" s="23"/>
      <c r="CI7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6">
        <f>COUNTA(Table1[[#This Row],[Reward Level 1]:[Reward Level 36]])</f>
        <v>16</v>
      </c>
      <c r="CK76">
        <f>COUNTIF(Table1[[#This Row],[Backers Level 1]:[Backers Level 36]],"&gt;0")</f>
        <v>9</v>
      </c>
      <c r="CL76" s="49">
        <f>Table1[[#This Row],[Pledge]]/Table1[[#This Row],[Backers]]</f>
        <v>47.745901639344261</v>
      </c>
      <c r="CM76" s="32" t="str">
        <f>IF(Table1[[#This Row],[Pledge]]=Table1[[#This Row],[Pledge Count]],"OK!","N!")</f>
        <v>N!</v>
      </c>
      <c r="CN7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4665</v>
      </c>
      <c r="CO76" s="53">
        <f>Table1[[#This Row],[Pledge]]-Table1[[#This Row],[Pledge Count]]</f>
        <v>1160</v>
      </c>
      <c r="CP76" s="32" t="str">
        <f>IF(Table1[[#This Row],[Backers]]=Table1[[#This Row],[Backers Count]],"OK!","N!")</f>
        <v>N!</v>
      </c>
      <c r="CQ76" s="32">
        <f>SUM(Table1[[#This Row],[Backers Level 1]:[Backers Level 36]])</f>
        <v>115</v>
      </c>
      <c r="CR76" s="32">
        <f>Table1[[#This Row],[Backers]]-Table1[[#This Row],[Backers Count]]</f>
        <v>7</v>
      </c>
      <c r="CS7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54</v>
      </c>
      <c r="CU7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24</v>
      </c>
      <c r="CV7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18</v>
      </c>
      <c r="CW7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16</v>
      </c>
      <c r="CX7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7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7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6"/>
      <c r="DE76"/>
      <c r="DG76"/>
      <c r="DI76"/>
      <c r="DK76"/>
      <c r="DM76"/>
      <c r="DO76"/>
      <c r="DQ76"/>
      <c r="DS76"/>
      <c r="DT76"/>
    </row>
    <row r="77" spans="1:124">
      <c r="A77" s="22" t="s">
        <v>376</v>
      </c>
      <c r="B77" s="25">
        <v>41334</v>
      </c>
      <c r="C77" s="23" t="s">
        <v>424</v>
      </c>
      <c r="D77" s="23" t="s">
        <v>425</v>
      </c>
      <c r="E77" s="24" t="s">
        <v>426</v>
      </c>
      <c r="F77" s="23" t="s">
        <v>26</v>
      </c>
      <c r="G77" s="44" t="s">
        <v>427</v>
      </c>
      <c r="H77" s="32" t="str">
        <f>RIGHT(Table1[[#This Row],[Location]],2)</f>
        <v>NY</v>
      </c>
      <c r="I77" s="25">
        <v>41275</v>
      </c>
      <c r="J77" s="25">
        <v>41320</v>
      </c>
      <c r="K77" s="37">
        <v>3015</v>
      </c>
      <c r="L77" s="37">
        <v>3000</v>
      </c>
      <c r="M77" s="43">
        <v>12</v>
      </c>
      <c r="N77" s="40">
        <v>96</v>
      </c>
      <c r="O77" s="26">
        <v>25</v>
      </c>
      <c r="P77" s="26">
        <v>35</v>
      </c>
      <c r="Q77" s="26">
        <v>50</v>
      </c>
      <c r="R77" s="2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37"/>
      <c r="AX77" s="37"/>
      <c r="AY77" s="24">
        <v>1</v>
      </c>
      <c r="AZ77" s="24">
        <v>2</v>
      </c>
      <c r="BA77" s="24">
        <v>5</v>
      </c>
      <c r="BB77" s="28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3"/>
      <c r="CH77" s="23"/>
      <c r="CI7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7">
        <f>COUNTA(Table1[[#This Row],[Reward Level 1]:[Reward Level 36]])</f>
        <v>3</v>
      </c>
      <c r="CK77">
        <f>COUNTIF(Table1[[#This Row],[Backers Level 1]:[Backers Level 36]],"&gt;0")</f>
        <v>3</v>
      </c>
      <c r="CL77" s="49">
        <f>Table1[[#This Row],[Pledge]]/Table1[[#This Row],[Backers]]</f>
        <v>251.25</v>
      </c>
      <c r="CM77" s="32" t="str">
        <f>IF(Table1[[#This Row],[Pledge]]=Table1[[#This Row],[Pledge Count]],"OK!","N!")</f>
        <v>N!</v>
      </c>
      <c r="CN7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345</v>
      </c>
      <c r="CO77" s="53">
        <f>Table1[[#This Row],[Pledge]]-Table1[[#This Row],[Pledge Count]]</f>
        <v>2670</v>
      </c>
      <c r="CP77" s="32" t="str">
        <f>IF(Table1[[#This Row],[Backers]]=Table1[[#This Row],[Backers Count]],"OK!","N!")</f>
        <v>N!</v>
      </c>
      <c r="CQ77" s="32">
        <f>SUM(Table1[[#This Row],[Backers Level 1]:[Backers Level 36]])</f>
        <v>8</v>
      </c>
      <c r="CR77" s="32">
        <f>Table1[[#This Row],[Backers]]-Table1[[#This Row],[Backers Count]]</f>
        <v>4</v>
      </c>
      <c r="CS7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7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</v>
      </c>
      <c r="CV7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7</v>
      </c>
      <c r="CW7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7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7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7"/>
      <c r="DE77"/>
      <c r="DG77"/>
      <c r="DI77"/>
      <c r="DK77"/>
      <c r="DM77"/>
      <c r="DO77"/>
      <c r="DQ77"/>
      <c r="DS77"/>
      <c r="DT77"/>
    </row>
    <row r="78" spans="1:124">
      <c r="A78" s="22" t="s">
        <v>377</v>
      </c>
      <c r="B78" s="25">
        <v>41334</v>
      </c>
      <c r="C78" s="23" t="s">
        <v>429</v>
      </c>
      <c r="D78" s="23" t="s">
        <v>430</v>
      </c>
      <c r="E78" s="24" t="s">
        <v>428</v>
      </c>
      <c r="F78" s="23" t="s">
        <v>269</v>
      </c>
      <c r="G78" s="44" t="s">
        <v>370</v>
      </c>
      <c r="H78" s="32" t="str">
        <f>RIGHT(Table1[[#This Row],[Location]],2)</f>
        <v>PA</v>
      </c>
      <c r="I78" s="25">
        <v>41285</v>
      </c>
      <c r="J78" s="25">
        <v>41320</v>
      </c>
      <c r="K78" s="37">
        <v>8564</v>
      </c>
      <c r="L78" s="37">
        <v>8000</v>
      </c>
      <c r="M78" s="43">
        <v>156</v>
      </c>
      <c r="N78" s="40">
        <v>803</v>
      </c>
      <c r="O78" s="26">
        <v>1</v>
      </c>
      <c r="P78" s="26">
        <v>10</v>
      </c>
      <c r="Q78" s="26">
        <v>20</v>
      </c>
      <c r="R78" s="27">
        <v>30</v>
      </c>
      <c r="S78" s="37">
        <v>50</v>
      </c>
      <c r="T78" s="37">
        <v>100</v>
      </c>
      <c r="U78" s="37">
        <v>150</v>
      </c>
      <c r="V78" s="37">
        <v>250</v>
      </c>
      <c r="W78" s="37">
        <v>500</v>
      </c>
      <c r="X78" s="37">
        <v>750</v>
      </c>
      <c r="Y78" s="37">
        <v>1000</v>
      </c>
      <c r="Z78" s="37">
        <v>2500</v>
      </c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24">
        <v>1</v>
      </c>
      <c r="AZ78" s="24">
        <v>21</v>
      </c>
      <c r="BA78" s="24">
        <v>37</v>
      </c>
      <c r="BB78" s="28">
        <v>48</v>
      </c>
      <c r="BC78" s="23">
        <v>23</v>
      </c>
      <c r="BD78" s="23">
        <v>14</v>
      </c>
      <c r="BE78" s="23">
        <v>3</v>
      </c>
      <c r="BF78" s="23">
        <v>0</v>
      </c>
      <c r="BG78" s="23">
        <v>5</v>
      </c>
      <c r="BH78" s="23">
        <v>0</v>
      </c>
      <c r="BI78" s="23">
        <v>0</v>
      </c>
      <c r="BJ78" s="23">
        <v>0</v>
      </c>
      <c r="BK78" s="23"/>
      <c r="BL78" s="23"/>
      <c r="BM78" s="23"/>
      <c r="BN78" s="23"/>
      <c r="BO78" s="23"/>
      <c r="BP78" s="23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3"/>
      <c r="CH78" s="23"/>
      <c r="CI7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8">
        <f>COUNTA(Table1[[#This Row],[Reward Level 1]:[Reward Level 36]])</f>
        <v>12</v>
      </c>
      <c r="CK78">
        <f>COUNTIF(Table1[[#This Row],[Backers Level 1]:[Backers Level 36]],"&gt;0")</f>
        <v>8</v>
      </c>
      <c r="CL78" s="49">
        <f>Table1[[#This Row],[Pledge]]/Table1[[#This Row],[Backers]]</f>
        <v>54.897435897435898</v>
      </c>
      <c r="CM78" s="32" t="str">
        <f>IF(Table1[[#This Row],[Pledge]]=Table1[[#This Row],[Pledge Count]],"OK!","N!")</f>
        <v>N!</v>
      </c>
      <c r="CN7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7891</v>
      </c>
      <c r="CO78" s="53">
        <f>Table1[[#This Row],[Pledge]]-Table1[[#This Row],[Pledge Count]]</f>
        <v>673</v>
      </c>
      <c r="CP78" s="32" t="str">
        <f>IF(Table1[[#This Row],[Backers]]=Table1[[#This Row],[Backers Count]],"OK!","N!")</f>
        <v>N!</v>
      </c>
      <c r="CQ78" s="32">
        <f>SUM(Table1[[#This Row],[Backers Level 1]:[Backers Level 36]])</f>
        <v>152</v>
      </c>
      <c r="CR78" s="32">
        <f>Table1[[#This Row],[Backers]]-Table1[[#This Row],[Backers Count]]</f>
        <v>4</v>
      </c>
      <c r="CS7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7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21</v>
      </c>
      <c r="CU7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37</v>
      </c>
      <c r="CV7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71</v>
      </c>
      <c r="CW7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14</v>
      </c>
      <c r="CX7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7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5</v>
      </c>
      <c r="CZ7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8"/>
      <c r="DE78"/>
      <c r="DG78"/>
      <c r="DI78"/>
      <c r="DK78"/>
      <c r="DM78"/>
      <c r="DO78"/>
      <c r="DQ78"/>
      <c r="DS78"/>
      <c r="DT78"/>
    </row>
    <row r="79" spans="1:124">
      <c r="A79" s="22" t="s">
        <v>378</v>
      </c>
      <c r="B79" s="25">
        <v>41334</v>
      </c>
      <c r="C79" s="23" t="s">
        <v>431</v>
      </c>
      <c r="D79" s="23" t="s">
        <v>432</v>
      </c>
      <c r="E79" s="45" t="s">
        <v>433</v>
      </c>
      <c r="F79" s="23" t="s">
        <v>60</v>
      </c>
      <c r="G79" s="44" t="s">
        <v>320</v>
      </c>
      <c r="H79" s="32" t="str">
        <f>RIGHT(Table1[[#This Row],[Location]],2)</f>
        <v>IL</v>
      </c>
      <c r="I79" s="25">
        <v>41260</v>
      </c>
      <c r="J79" s="25">
        <v>41320</v>
      </c>
      <c r="K79" s="37">
        <v>2400</v>
      </c>
      <c r="L79" s="37">
        <v>2000</v>
      </c>
      <c r="M79" s="43">
        <v>48</v>
      </c>
      <c r="N79" s="40">
        <v>4865</v>
      </c>
      <c r="O79" s="26">
        <v>10</v>
      </c>
      <c r="P79" s="26">
        <v>25</v>
      </c>
      <c r="Q79" s="26">
        <v>50</v>
      </c>
      <c r="R79" s="27">
        <v>100</v>
      </c>
      <c r="S79" s="37">
        <v>1000</v>
      </c>
      <c r="T79" s="37">
        <v>2000</v>
      </c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24">
        <v>17</v>
      </c>
      <c r="AZ79" s="24">
        <v>7</v>
      </c>
      <c r="BA79" s="24">
        <v>8</v>
      </c>
      <c r="BB79" s="28">
        <v>6</v>
      </c>
      <c r="BC79" s="23">
        <v>0</v>
      </c>
      <c r="BD79" s="23">
        <v>0</v>
      </c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3"/>
      <c r="BP79" s="23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3"/>
      <c r="CH79" s="23"/>
      <c r="CI7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79">
        <f>COUNTA(Table1[[#This Row],[Reward Level 1]:[Reward Level 36]])</f>
        <v>6</v>
      </c>
      <c r="CK79">
        <f>COUNTIF(Table1[[#This Row],[Backers Level 1]:[Backers Level 36]],"&gt;0")</f>
        <v>4</v>
      </c>
      <c r="CL79" s="49">
        <f>Table1[[#This Row],[Pledge]]/Table1[[#This Row],[Backers]]</f>
        <v>50</v>
      </c>
      <c r="CM79" s="32" t="str">
        <f>IF(Table1[[#This Row],[Pledge]]=Table1[[#This Row],[Pledge Count]],"OK!","N!")</f>
        <v>N!</v>
      </c>
      <c r="CN7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1345</v>
      </c>
      <c r="CO79" s="53">
        <f>Table1[[#This Row],[Pledge]]-Table1[[#This Row],[Pledge Count]]</f>
        <v>1055</v>
      </c>
      <c r="CP79" s="32" t="str">
        <f>IF(Table1[[#This Row],[Backers]]=Table1[[#This Row],[Backers Count]],"OK!","N!")</f>
        <v>N!</v>
      </c>
      <c r="CQ79" s="32">
        <f>SUM(Table1[[#This Row],[Backers Level 1]:[Backers Level 36]])</f>
        <v>38</v>
      </c>
      <c r="CR79" s="32">
        <f>Table1[[#This Row],[Backers]]-Table1[[#This Row],[Backers Count]]</f>
        <v>10</v>
      </c>
      <c r="CS7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7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17</v>
      </c>
      <c r="CU7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7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7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6</v>
      </c>
      <c r="CX7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7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7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7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7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79"/>
      <c r="DE79"/>
      <c r="DG79"/>
      <c r="DI79"/>
      <c r="DK79"/>
      <c r="DM79"/>
      <c r="DO79"/>
      <c r="DQ79"/>
      <c r="DS79"/>
      <c r="DT79"/>
    </row>
    <row r="80" spans="1:124">
      <c r="A80" s="22" t="s">
        <v>379</v>
      </c>
      <c r="B80" s="25">
        <v>41334</v>
      </c>
      <c r="C80" s="23" t="s">
        <v>434</v>
      </c>
      <c r="D80" s="23" t="s">
        <v>435</v>
      </c>
      <c r="E80" s="24" t="s">
        <v>436</v>
      </c>
      <c r="F80" s="23" t="s">
        <v>51</v>
      </c>
      <c r="G80" s="44" t="s">
        <v>320</v>
      </c>
      <c r="H80" s="32" t="str">
        <f>RIGHT(Table1[[#This Row],[Location]],2)</f>
        <v>IL</v>
      </c>
      <c r="I80" s="25">
        <v>41281</v>
      </c>
      <c r="J80" s="25">
        <v>41320</v>
      </c>
      <c r="K80" s="37">
        <v>1103</v>
      </c>
      <c r="L80" s="37">
        <v>975</v>
      </c>
      <c r="M80" s="43">
        <v>31</v>
      </c>
      <c r="N80" s="40">
        <v>490</v>
      </c>
      <c r="O80" s="26">
        <v>1</v>
      </c>
      <c r="P80" s="26">
        <v>2</v>
      </c>
      <c r="Q80" s="26">
        <v>5</v>
      </c>
      <c r="R80" s="27">
        <v>10</v>
      </c>
      <c r="S80" s="37">
        <v>25</v>
      </c>
      <c r="T80" s="37">
        <v>21</v>
      </c>
      <c r="U80" s="37">
        <v>50</v>
      </c>
      <c r="V80" s="37">
        <v>100</v>
      </c>
      <c r="W80" s="37">
        <v>175</v>
      </c>
      <c r="X80" s="37">
        <v>250</v>
      </c>
      <c r="Y80" s="37">
        <v>500</v>
      </c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7"/>
      <c r="AY80" s="24">
        <v>0</v>
      </c>
      <c r="AZ80" s="24">
        <v>0</v>
      </c>
      <c r="BA80" s="24">
        <v>9</v>
      </c>
      <c r="BB80" s="28">
        <v>7</v>
      </c>
      <c r="BC80" s="23">
        <v>10</v>
      </c>
      <c r="BD80" s="23">
        <v>1</v>
      </c>
      <c r="BE80" s="23">
        <v>1</v>
      </c>
      <c r="BF80" s="23">
        <v>0</v>
      </c>
      <c r="BG80" s="23">
        <v>2</v>
      </c>
      <c r="BH80" s="23">
        <v>0</v>
      </c>
      <c r="BI80" s="23">
        <v>0</v>
      </c>
      <c r="BJ80" s="23"/>
      <c r="BK80" s="23"/>
      <c r="BL80" s="23"/>
      <c r="BM80" s="23"/>
      <c r="BN80" s="23"/>
      <c r="BO80" s="23"/>
      <c r="BP80" s="23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3"/>
      <c r="CH80" s="23"/>
      <c r="CI8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0">
        <f>COUNTA(Table1[[#This Row],[Reward Level 1]:[Reward Level 36]])</f>
        <v>11</v>
      </c>
      <c r="CK80">
        <f>COUNTIF(Table1[[#This Row],[Backers Level 1]:[Backers Level 36]],"&gt;0")</f>
        <v>6</v>
      </c>
      <c r="CL80" s="49">
        <f>Table1[[#This Row],[Pledge]]/Table1[[#This Row],[Backers]]</f>
        <v>35.58064516129032</v>
      </c>
      <c r="CM80" s="32" t="str">
        <f>IF(Table1[[#This Row],[Pledge]]=Table1[[#This Row],[Pledge Count]],"OK!","N!")</f>
        <v>N!</v>
      </c>
      <c r="CN8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786</v>
      </c>
      <c r="CO80" s="53">
        <f>Table1[[#This Row],[Pledge]]-Table1[[#This Row],[Pledge Count]]</f>
        <v>317</v>
      </c>
      <c r="CP80" s="32" t="str">
        <f>IF(Table1[[#This Row],[Backers]]=Table1[[#This Row],[Backers Count]],"OK!","N!")</f>
        <v>N!</v>
      </c>
      <c r="CQ80" s="32">
        <f>SUM(Table1[[#This Row],[Backers Level 1]:[Backers Level 36]])</f>
        <v>30</v>
      </c>
      <c r="CR80" s="32">
        <f>Table1[[#This Row],[Backers]]-Table1[[#This Row],[Backers Count]]</f>
        <v>1</v>
      </c>
      <c r="CS8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9</v>
      </c>
      <c r="CT8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7</v>
      </c>
      <c r="CU8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11</v>
      </c>
      <c r="CV8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</v>
      </c>
      <c r="CW8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8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</v>
      </c>
      <c r="CY8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0"/>
      <c r="DE80"/>
      <c r="DG80"/>
      <c r="DI80"/>
      <c r="DK80"/>
      <c r="DM80"/>
      <c r="DO80"/>
      <c r="DQ80"/>
      <c r="DS80"/>
      <c r="DT80"/>
    </row>
    <row r="81" spans="1:124">
      <c r="A81" s="22" t="s">
        <v>380</v>
      </c>
      <c r="B81" s="25">
        <v>41335</v>
      </c>
      <c r="C81" s="23" t="s">
        <v>437</v>
      </c>
      <c r="D81" s="23" t="s">
        <v>441</v>
      </c>
      <c r="E81" s="24" t="s">
        <v>438</v>
      </c>
      <c r="F81" s="23" t="s">
        <v>26</v>
      </c>
      <c r="G81" s="44" t="s">
        <v>439</v>
      </c>
      <c r="H81" s="32" t="str">
        <f>RIGHT(Table1[[#This Row],[Location]],2)</f>
        <v>CA</v>
      </c>
      <c r="I81" s="25">
        <v>41284</v>
      </c>
      <c r="J81" s="25">
        <v>41320</v>
      </c>
      <c r="K81" s="37">
        <v>5995</v>
      </c>
      <c r="L81" s="37">
        <v>5500</v>
      </c>
      <c r="M81" s="43">
        <v>76</v>
      </c>
      <c r="N81" s="40">
        <v>396</v>
      </c>
      <c r="O81" s="26">
        <v>10</v>
      </c>
      <c r="P81" s="26">
        <v>25</v>
      </c>
      <c r="Q81" s="26">
        <v>25</v>
      </c>
      <c r="R81" s="27">
        <v>50</v>
      </c>
      <c r="S81" s="37">
        <v>100</v>
      </c>
      <c r="T81" s="37">
        <v>250</v>
      </c>
      <c r="U81" s="37">
        <v>500</v>
      </c>
      <c r="V81" s="37">
        <v>1000</v>
      </c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24">
        <v>8</v>
      </c>
      <c r="AZ81" s="24">
        <v>12</v>
      </c>
      <c r="BA81" s="24">
        <v>2</v>
      </c>
      <c r="BB81" s="28">
        <v>28</v>
      </c>
      <c r="BC81" s="23">
        <v>5</v>
      </c>
      <c r="BD81" s="23">
        <v>4</v>
      </c>
      <c r="BE81" s="23">
        <v>1</v>
      </c>
      <c r="BF81" s="23">
        <v>1</v>
      </c>
      <c r="BG81" s="23"/>
      <c r="BH81" s="23"/>
      <c r="BI81" s="23"/>
      <c r="BJ81" s="23"/>
      <c r="BK81" s="23"/>
      <c r="BL81" s="23"/>
      <c r="BM81" s="23"/>
      <c r="BN81" s="23"/>
      <c r="BO81" s="23"/>
      <c r="BP81" s="23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3"/>
      <c r="CH81" s="23"/>
      <c r="CI8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1">
        <f>COUNTA(Table1[[#This Row],[Reward Level 1]:[Reward Level 36]])</f>
        <v>8</v>
      </c>
      <c r="CK81">
        <f>COUNTIF(Table1[[#This Row],[Backers Level 1]:[Backers Level 36]],"&gt;0")</f>
        <v>8</v>
      </c>
      <c r="CL81" s="49">
        <f>Table1[[#This Row],[Pledge]]/Table1[[#This Row],[Backers]]</f>
        <v>78.881578947368425</v>
      </c>
      <c r="CM81" s="32" t="str">
        <f>IF(Table1[[#This Row],[Pledge]]=Table1[[#This Row],[Pledge Count]],"OK!","N!")</f>
        <v>N!</v>
      </c>
      <c r="CN8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4830</v>
      </c>
      <c r="CO81" s="53">
        <f>Table1[[#This Row],[Pledge]]-Table1[[#This Row],[Pledge Count]]</f>
        <v>1165</v>
      </c>
      <c r="CP81" s="32" t="str">
        <f>IF(Table1[[#This Row],[Backers]]=Table1[[#This Row],[Backers Count]],"OK!","N!")</f>
        <v>N!</v>
      </c>
      <c r="CQ81" s="32">
        <f>SUM(Table1[[#This Row],[Backers Level 1]:[Backers Level 36]])</f>
        <v>61</v>
      </c>
      <c r="CR81" s="32">
        <f>Table1[[#This Row],[Backers]]-Table1[[#This Row],[Backers Count]]</f>
        <v>15</v>
      </c>
      <c r="CS8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8</v>
      </c>
      <c r="CU8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8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28</v>
      </c>
      <c r="CW8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5</v>
      </c>
      <c r="CX8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8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8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8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1"/>
      <c r="DE81"/>
      <c r="DG81"/>
      <c r="DI81"/>
      <c r="DK81"/>
      <c r="DM81"/>
      <c r="DO81"/>
      <c r="DQ81"/>
      <c r="DS81"/>
      <c r="DT81"/>
    </row>
    <row r="82" spans="1:124">
      <c r="A82" s="22" t="s">
        <v>381</v>
      </c>
      <c r="B82" s="25">
        <v>41335</v>
      </c>
      <c r="C82" s="23" t="s">
        <v>440</v>
      </c>
      <c r="D82" s="23" t="s">
        <v>442</v>
      </c>
      <c r="E82" s="24" t="s">
        <v>443</v>
      </c>
      <c r="F82" s="23" t="s">
        <v>51</v>
      </c>
      <c r="G82" s="44" t="s">
        <v>444</v>
      </c>
      <c r="H82" s="32" t="str">
        <f>RIGHT(Table1[[#This Row],[Location]],2)</f>
        <v>MO</v>
      </c>
      <c r="I82" s="25">
        <v>41290</v>
      </c>
      <c r="J82" s="25">
        <v>41320</v>
      </c>
      <c r="K82" s="37">
        <v>580</v>
      </c>
      <c r="L82" s="37">
        <v>500</v>
      </c>
      <c r="M82" s="43">
        <v>18</v>
      </c>
      <c r="N82" s="40">
        <v>867</v>
      </c>
      <c r="O82" s="26">
        <v>2</v>
      </c>
      <c r="P82" s="26">
        <v>7</v>
      </c>
      <c r="Q82" s="26">
        <v>12</v>
      </c>
      <c r="R82" s="27">
        <v>15</v>
      </c>
      <c r="S82" s="37">
        <v>20</v>
      </c>
      <c r="T82" s="37">
        <v>40</v>
      </c>
      <c r="U82" s="37">
        <v>100</v>
      </c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  <c r="AP82" s="37"/>
      <c r="AQ82" s="37"/>
      <c r="AR82" s="37"/>
      <c r="AS82" s="37"/>
      <c r="AT82" s="37"/>
      <c r="AU82" s="37"/>
      <c r="AV82" s="37"/>
      <c r="AW82" s="37"/>
      <c r="AX82" s="37"/>
      <c r="AY82" s="24">
        <v>0</v>
      </c>
      <c r="AZ82" s="24">
        <v>3</v>
      </c>
      <c r="BA82" s="24">
        <v>1</v>
      </c>
      <c r="BB82" s="28">
        <v>2</v>
      </c>
      <c r="BC82" s="23">
        <v>8</v>
      </c>
      <c r="BD82" s="23">
        <v>2</v>
      </c>
      <c r="BE82" s="23">
        <v>0</v>
      </c>
      <c r="BF82" s="23"/>
      <c r="BG82" s="23"/>
      <c r="BH82" s="23"/>
      <c r="BI82" s="23"/>
      <c r="BJ82" s="23"/>
      <c r="BK82" s="23"/>
      <c r="BL82" s="23"/>
      <c r="BM82" s="23"/>
      <c r="BN82" s="23"/>
      <c r="BO82" s="23"/>
      <c r="BP82" s="23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3"/>
      <c r="CH82" s="23"/>
      <c r="CI8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82">
        <f>COUNTA(Table1[[#This Row],[Reward Level 1]:[Reward Level 36]])</f>
        <v>7</v>
      </c>
      <c r="CK82">
        <f>COUNTIF(Table1[[#This Row],[Backers Level 1]:[Backers Level 36]],"&gt;0")</f>
        <v>5</v>
      </c>
      <c r="CL82" s="49">
        <f>Table1[[#This Row],[Pledge]]/Table1[[#This Row],[Backers]]</f>
        <v>32.222222222222221</v>
      </c>
      <c r="CM82" s="32" t="str">
        <f>IF(Table1[[#This Row],[Pledge]]=Table1[[#This Row],[Pledge Count]],"OK!","N!")</f>
        <v>N!</v>
      </c>
      <c r="CN8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303</v>
      </c>
      <c r="CO82" s="53">
        <f>Table1[[#This Row],[Pledge]]-Table1[[#This Row],[Pledge Count]]</f>
        <v>277</v>
      </c>
      <c r="CP82" s="32" t="str">
        <f>IF(Table1[[#This Row],[Backers]]=Table1[[#This Row],[Backers Count]],"OK!","N!")</f>
        <v>N!</v>
      </c>
      <c r="CQ82" s="32">
        <f>SUM(Table1[[#This Row],[Backers Level 1]:[Backers Level 36]])</f>
        <v>16</v>
      </c>
      <c r="CR82" s="32">
        <f>Table1[[#This Row],[Backers]]-Table1[[#This Row],[Backers Count]]</f>
        <v>2</v>
      </c>
      <c r="CS8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</v>
      </c>
      <c r="CU8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11</v>
      </c>
      <c r="CV8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</v>
      </c>
      <c r="CW8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8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8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2"/>
      <c r="DE82"/>
      <c r="DG82"/>
      <c r="DI82"/>
      <c r="DK82"/>
      <c r="DM82"/>
      <c r="DO82"/>
      <c r="DQ82"/>
      <c r="DS82"/>
      <c r="DT82"/>
    </row>
    <row r="83" spans="1:124">
      <c r="A83" s="22" t="s">
        <v>382</v>
      </c>
      <c r="B83" s="25">
        <v>41335</v>
      </c>
      <c r="C83" s="23" t="s">
        <v>445</v>
      </c>
      <c r="D83" s="23" t="s">
        <v>446</v>
      </c>
      <c r="E83" s="24" t="s">
        <v>447</v>
      </c>
      <c r="F83" s="23" t="s">
        <v>87</v>
      </c>
      <c r="G83" s="44" t="s">
        <v>345</v>
      </c>
      <c r="H83" s="32" t="str">
        <f>RIGHT(Table1[[#This Row],[Location]],2)</f>
        <v>GA</v>
      </c>
      <c r="I83" s="25">
        <v>41275</v>
      </c>
      <c r="J83" s="25">
        <v>41319</v>
      </c>
      <c r="K83" s="37">
        <v>6230</v>
      </c>
      <c r="L83" s="37">
        <v>6000</v>
      </c>
      <c r="M83" s="43">
        <v>74</v>
      </c>
      <c r="N83" s="40">
        <v>192</v>
      </c>
      <c r="O83" s="26">
        <v>10</v>
      </c>
      <c r="P83" s="26">
        <v>15</v>
      </c>
      <c r="Q83" s="26">
        <v>20</v>
      </c>
      <c r="R83" s="27">
        <v>30</v>
      </c>
      <c r="S83" s="37">
        <v>50</v>
      </c>
      <c r="T83" s="37">
        <v>75</v>
      </c>
      <c r="U83" s="37">
        <v>100</v>
      </c>
      <c r="V83" s="37">
        <v>150</v>
      </c>
      <c r="W83" s="37">
        <v>200</v>
      </c>
      <c r="X83" s="37">
        <v>250</v>
      </c>
      <c r="Y83" s="37">
        <v>400</v>
      </c>
      <c r="Z83" s="37">
        <v>500</v>
      </c>
      <c r="AA83" s="37">
        <v>800</v>
      </c>
      <c r="AB83" s="37">
        <v>1000</v>
      </c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7"/>
      <c r="AY83" s="24">
        <v>9</v>
      </c>
      <c r="AZ83" s="24">
        <v>5</v>
      </c>
      <c r="BA83" s="24">
        <v>11</v>
      </c>
      <c r="BB83" s="28">
        <v>17</v>
      </c>
      <c r="BC83" s="23">
        <v>5</v>
      </c>
      <c r="BD83" s="23">
        <v>4</v>
      </c>
      <c r="BE83" s="23">
        <v>7</v>
      </c>
      <c r="BF83" s="23">
        <v>1</v>
      </c>
      <c r="BG83" s="23">
        <v>2</v>
      </c>
      <c r="BH83" s="23">
        <v>1</v>
      </c>
      <c r="BI83" s="23">
        <v>5</v>
      </c>
      <c r="BJ83" s="23">
        <v>0</v>
      </c>
      <c r="BK83" s="23">
        <v>0</v>
      </c>
      <c r="BL83" s="23">
        <v>0</v>
      </c>
      <c r="BM83" s="23"/>
      <c r="BN83" s="23"/>
      <c r="BO83" s="23"/>
      <c r="BP83" s="23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3"/>
      <c r="CH83" s="23"/>
      <c r="CI8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3">
        <f>COUNTA(Table1[[#This Row],[Reward Level 1]:[Reward Level 36]])</f>
        <v>14</v>
      </c>
      <c r="CK83">
        <f>COUNTIF(Table1[[#This Row],[Backers Level 1]:[Backers Level 36]],"&gt;0")</f>
        <v>11</v>
      </c>
      <c r="CL83" s="49">
        <f>Table1[[#This Row],[Pledge]]/Table1[[#This Row],[Backers]]</f>
        <v>84.189189189189193</v>
      </c>
      <c r="CM83" s="32" t="str">
        <f>IF(Table1[[#This Row],[Pledge]]=Table1[[#This Row],[Pledge Count]],"OK!","N!")</f>
        <v>N!</v>
      </c>
      <c r="CN8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4945</v>
      </c>
      <c r="CO83" s="53">
        <f>Table1[[#This Row],[Pledge]]-Table1[[#This Row],[Pledge Count]]</f>
        <v>1285</v>
      </c>
      <c r="CP83" s="32" t="str">
        <f>IF(Table1[[#This Row],[Backers]]=Table1[[#This Row],[Backers Count]],"OK!","N!")</f>
        <v>N!</v>
      </c>
      <c r="CQ83" s="32">
        <f>SUM(Table1[[#This Row],[Backers Level 1]:[Backers Level 36]])</f>
        <v>67</v>
      </c>
      <c r="CR83" s="32">
        <f>Table1[[#This Row],[Backers]]-Table1[[#This Row],[Backers Count]]</f>
        <v>7</v>
      </c>
      <c r="CS8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9</v>
      </c>
      <c r="CU8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16</v>
      </c>
      <c r="CV8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22</v>
      </c>
      <c r="CW8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11</v>
      </c>
      <c r="CX8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8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5</v>
      </c>
      <c r="CZ8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3"/>
      <c r="DE83"/>
      <c r="DG83"/>
      <c r="DI83"/>
      <c r="DK83"/>
      <c r="DM83"/>
      <c r="DO83"/>
      <c r="DQ83"/>
      <c r="DS83"/>
      <c r="DT83"/>
    </row>
    <row r="84" spans="1:124">
      <c r="A84" s="22" t="s">
        <v>383</v>
      </c>
      <c r="B84" s="25">
        <v>41335</v>
      </c>
      <c r="C84" s="23" t="s">
        <v>448</v>
      </c>
      <c r="D84" s="23" t="s">
        <v>449</v>
      </c>
      <c r="E84" s="24" t="s">
        <v>450</v>
      </c>
      <c r="F84" s="23" t="s">
        <v>65</v>
      </c>
      <c r="G84" s="44" t="s">
        <v>160</v>
      </c>
      <c r="H84" s="32" t="str">
        <f>RIGHT(Table1[[#This Row],[Location]],2)</f>
        <v>OR</v>
      </c>
      <c r="I84" s="25">
        <v>41291</v>
      </c>
      <c r="J84" s="25">
        <v>41319</v>
      </c>
      <c r="K84" s="37">
        <v>11960</v>
      </c>
      <c r="L84" s="37">
        <v>3000</v>
      </c>
      <c r="M84" s="43">
        <v>116</v>
      </c>
      <c r="N84" s="40">
        <v>2305</v>
      </c>
      <c r="O84" s="26">
        <v>10</v>
      </c>
      <c r="P84" s="26">
        <v>20</v>
      </c>
      <c r="Q84" s="26">
        <v>25</v>
      </c>
      <c r="R84" s="27">
        <v>35</v>
      </c>
      <c r="S84" s="37">
        <v>50</v>
      </c>
      <c r="T84" s="37">
        <v>75</v>
      </c>
      <c r="U84" s="37">
        <v>100</v>
      </c>
      <c r="V84" s="37">
        <v>500</v>
      </c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  <c r="AO84" s="37"/>
      <c r="AP84" s="37"/>
      <c r="AQ84" s="37"/>
      <c r="AR84" s="37"/>
      <c r="AS84" s="37"/>
      <c r="AT84" s="37"/>
      <c r="AU84" s="37"/>
      <c r="AV84" s="37"/>
      <c r="AW84" s="37"/>
      <c r="AX84" s="37"/>
      <c r="AY84" s="24">
        <v>12</v>
      </c>
      <c r="AZ84" s="24">
        <v>22</v>
      </c>
      <c r="BA84" s="24">
        <v>0</v>
      </c>
      <c r="BB84" s="28">
        <v>14</v>
      </c>
      <c r="BC84" s="23">
        <v>38</v>
      </c>
      <c r="BD84" s="23">
        <v>8</v>
      </c>
      <c r="BE84" s="23">
        <v>5</v>
      </c>
      <c r="BF84" s="23">
        <v>5</v>
      </c>
      <c r="BG84" s="23"/>
      <c r="BH84" s="23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3"/>
      <c r="CH84" s="23"/>
      <c r="CI8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84">
        <f>COUNTA(Table1[[#This Row],[Reward Level 1]:[Reward Level 36]])</f>
        <v>8</v>
      </c>
      <c r="CK84">
        <f>COUNTIF(Table1[[#This Row],[Backers Level 1]:[Backers Level 36]],"&gt;0")</f>
        <v>7</v>
      </c>
      <c r="CL84" s="49">
        <f>Table1[[#This Row],[Pledge]]/Table1[[#This Row],[Backers]]</f>
        <v>103.10344827586206</v>
      </c>
      <c r="CM84" s="32" t="str">
        <f>IF(Table1[[#This Row],[Pledge]]=Table1[[#This Row],[Pledge Count]],"OK!","N!")</f>
        <v>N!</v>
      </c>
      <c r="CN8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6550</v>
      </c>
      <c r="CO84" s="53">
        <f>Table1[[#This Row],[Pledge]]-Table1[[#This Row],[Pledge Count]]</f>
        <v>5410</v>
      </c>
      <c r="CP84" s="32" t="str">
        <f>IF(Table1[[#This Row],[Backers]]=Table1[[#This Row],[Backers Count]],"OK!","N!")</f>
        <v>N!</v>
      </c>
      <c r="CQ84" s="32">
        <f>SUM(Table1[[#This Row],[Backers Level 1]:[Backers Level 36]])</f>
        <v>104</v>
      </c>
      <c r="CR84" s="32">
        <f>Table1[[#This Row],[Backers]]-Table1[[#This Row],[Backers Count]]</f>
        <v>12</v>
      </c>
      <c r="CS8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12</v>
      </c>
      <c r="CU8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8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52</v>
      </c>
      <c r="CW8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13</v>
      </c>
      <c r="CX8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8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5</v>
      </c>
      <c r="CZ8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4"/>
      <c r="DE84"/>
      <c r="DG84"/>
      <c r="DI84"/>
      <c r="DK84"/>
      <c r="DM84"/>
      <c r="DO84"/>
      <c r="DQ84"/>
      <c r="DS84"/>
      <c r="DT84"/>
    </row>
    <row r="85" spans="1:124">
      <c r="A85" s="22" t="s">
        <v>384</v>
      </c>
      <c r="B85" s="25">
        <v>41335</v>
      </c>
      <c r="C85" s="23" t="s">
        <v>451</v>
      </c>
      <c r="D85" s="23" t="s">
        <v>452</v>
      </c>
      <c r="E85" s="24" t="s">
        <v>453</v>
      </c>
      <c r="F85" s="23" t="s">
        <v>65</v>
      </c>
      <c r="G85" s="44" t="s">
        <v>454</v>
      </c>
      <c r="H85" s="32" t="str">
        <f>RIGHT(Table1[[#This Row],[Location]],2)</f>
        <v>IL</v>
      </c>
      <c r="I85" s="25">
        <v>41289</v>
      </c>
      <c r="J85" s="25">
        <v>41319</v>
      </c>
      <c r="K85" s="37">
        <v>1502</v>
      </c>
      <c r="L85" s="37">
        <v>1200</v>
      </c>
      <c r="M85" s="43">
        <v>67</v>
      </c>
      <c r="N85" s="40">
        <v>265</v>
      </c>
      <c r="O85" s="26">
        <v>5</v>
      </c>
      <c r="P85" s="26">
        <v>10</v>
      </c>
      <c r="Q85" s="26">
        <v>15</v>
      </c>
      <c r="R85" s="27">
        <v>25</v>
      </c>
      <c r="S85" s="37">
        <v>40</v>
      </c>
      <c r="T85" s="37">
        <v>450</v>
      </c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24">
        <v>1</v>
      </c>
      <c r="AZ85" s="24">
        <v>1</v>
      </c>
      <c r="BA85" s="24">
        <v>32</v>
      </c>
      <c r="BB85" s="28">
        <v>22</v>
      </c>
      <c r="BC85" s="23">
        <v>8</v>
      </c>
      <c r="BD85" s="23">
        <v>0</v>
      </c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3"/>
      <c r="CH85" s="23"/>
      <c r="CI8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5">
        <f>COUNTA(Table1[[#This Row],[Reward Level 1]:[Reward Level 36]])</f>
        <v>6</v>
      </c>
      <c r="CK85">
        <f>COUNTIF(Table1[[#This Row],[Backers Level 1]:[Backers Level 36]],"&gt;0")</f>
        <v>5</v>
      </c>
      <c r="CL85" s="49">
        <f>Table1[[#This Row],[Pledge]]/Table1[[#This Row],[Backers]]</f>
        <v>22.417910447761194</v>
      </c>
      <c r="CM85" s="32" t="str">
        <f>IF(Table1[[#This Row],[Pledge]]=Table1[[#This Row],[Pledge Count]],"OK!","N!")</f>
        <v>N!</v>
      </c>
      <c r="CN8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1365</v>
      </c>
      <c r="CO85" s="53">
        <f>Table1[[#This Row],[Pledge]]-Table1[[#This Row],[Pledge Count]]</f>
        <v>137</v>
      </c>
      <c r="CP85" s="32" t="str">
        <f>IF(Table1[[#This Row],[Backers]]=Table1[[#This Row],[Backers Count]],"OK!","N!")</f>
        <v>N!</v>
      </c>
      <c r="CQ85" s="32">
        <f>SUM(Table1[[#This Row],[Backers Level 1]:[Backers Level 36]])</f>
        <v>64</v>
      </c>
      <c r="CR85" s="32">
        <f>Table1[[#This Row],[Backers]]-Table1[[#This Row],[Backers Count]]</f>
        <v>3</v>
      </c>
      <c r="CS8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</v>
      </c>
      <c r="CT8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</v>
      </c>
      <c r="CU8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54</v>
      </c>
      <c r="CV8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8</v>
      </c>
      <c r="CW8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8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8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5"/>
      <c r="DE85"/>
      <c r="DG85"/>
      <c r="DI85"/>
      <c r="DK85"/>
      <c r="DM85"/>
      <c r="DO85"/>
      <c r="DQ85"/>
      <c r="DS85"/>
      <c r="DT85"/>
    </row>
    <row r="86" spans="1:124">
      <c r="A86" s="22" t="s">
        <v>385</v>
      </c>
      <c r="B86" s="25">
        <v>41335</v>
      </c>
      <c r="C86" s="23" t="s">
        <v>455</v>
      </c>
      <c r="D86" s="23" t="s">
        <v>456</v>
      </c>
      <c r="E86" s="24" t="s">
        <v>457</v>
      </c>
      <c r="F86" s="23" t="s">
        <v>87</v>
      </c>
      <c r="G86" s="44" t="s">
        <v>458</v>
      </c>
      <c r="H86" s="32" t="str">
        <f>RIGHT(Table1[[#This Row],[Location]],2)</f>
        <v>MD</v>
      </c>
      <c r="I86" s="25">
        <v>41289</v>
      </c>
      <c r="J86" s="25">
        <v>41319</v>
      </c>
      <c r="K86" s="37">
        <v>5140</v>
      </c>
      <c r="L86" s="37">
        <v>5000</v>
      </c>
      <c r="M86" s="43">
        <v>84</v>
      </c>
      <c r="N86" s="40"/>
      <c r="O86" s="26">
        <v>10</v>
      </c>
      <c r="P86" s="26">
        <v>15</v>
      </c>
      <c r="Q86" s="26">
        <v>25</v>
      </c>
      <c r="R86" s="27">
        <v>35</v>
      </c>
      <c r="S86" s="37">
        <v>50</v>
      </c>
      <c r="T86" s="37">
        <v>65</v>
      </c>
      <c r="U86" s="37">
        <v>80</v>
      </c>
      <c r="V86" s="37">
        <v>100</v>
      </c>
      <c r="W86" s="37">
        <v>140</v>
      </c>
      <c r="X86" s="37">
        <v>180</v>
      </c>
      <c r="Y86" s="37">
        <v>225</v>
      </c>
      <c r="Z86" s="37">
        <v>250</v>
      </c>
      <c r="AA86" s="37">
        <v>250</v>
      </c>
      <c r="AB86" s="37">
        <v>300</v>
      </c>
      <c r="AC86" s="37">
        <v>400</v>
      </c>
      <c r="AD86" s="37">
        <v>750</v>
      </c>
      <c r="AE86" s="37">
        <v>1500</v>
      </c>
      <c r="AF86" s="37">
        <v>2200</v>
      </c>
      <c r="AG86" s="37">
        <v>3000</v>
      </c>
      <c r="AH86" s="37">
        <v>4500</v>
      </c>
      <c r="AI86" s="37">
        <v>5500</v>
      </c>
      <c r="AJ86" s="37"/>
      <c r="AK86" s="37"/>
      <c r="AL86" s="37"/>
      <c r="AM86" s="37"/>
      <c r="AN86" s="37"/>
      <c r="AO86" s="37"/>
      <c r="AP86" s="37"/>
      <c r="AQ86" s="37"/>
      <c r="AR86" s="37"/>
      <c r="AS86" s="37"/>
      <c r="AT86" s="37"/>
      <c r="AU86" s="37"/>
      <c r="AV86" s="37"/>
      <c r="AW86" s="37"/>
      <c r="AX86" s="37"/>
      <c r="AY86" s="24">
        <v>19</v>
      </c>
      <c r="AZ86" s="24">
        <v>13</v>
      </c>
      <c r="BA86" s="24">
        <v>9</v>
      </c>
      <c r="BB86" s="28">
        <v>8</v>
      </c>
      <c r="BC86" s="23">
        <v>8</v>
      </c>
      <c r="BD86" s="23">
        <v>5</v>
      </c>
      <c r="BE86" s="23">
        <v>0</v>
      </c>
      <c r="BF86" s="23">
        <v>6</v>
      </c>
      <c r="BG86" s="23">
        <v>2</v>
      </c>
      <c r="BH86" s="23">
        <v>2</v>
      </c>
      <c r="BI86" s="23">
        <v>0</v>
      </c>
      <c r="BJ86" s="23">
        <v>0</v>
      </c>
      <c r="BK86" s="23">
        <v>0</v>
      </c>
      <c r="BL86" s="23">
        <v>3</v>
      </c>
      <c r="BM86" s="23">
        <v>1</v>
      </c>
      <c r="BN86" s="23">
        <v>0</v>
      </c>
      <c r="BO86" s="23">
        <v>0</v>
      </c>
      <c r="BP86" s="23">
        <v>0</v>
      </c>
      <c r="BQ86" s="23">
        <v>0</v>
      </c>
      <c r="BR86" s="23">
        <v>0</v>
      </c>
      <c r="BS86" s="23">
        <v>0</v>
      </c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3"/>
      <c r="CH86" s="23"/>
      <c r="CI8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6">
        <f>COUNTA(Table1[[#This Row],[Reward Level 1]:[Reward Level 36]])</f>
        <v>21</v>
      </c>
      <c r="CK86">
        <f>COUNTIF(Table1[[#This Row],[Backers Level 1]:[Backers Level 36]],"&gt;0")</f>
        <v>11</v>
      </c>
      <c r="CL86" s="49">
        <f>Table1[[#This Row],[Pledge]]/Table1[[#This Row],[Backers]]</f>
        <v>61.19047619047619</v>
      </c>
      <c r="CM86" s="32" t="str">
        <f>IF(Table1[[#This Row],[Pledge]]=Table1[[#This Row],[Pledge Count]],"OK!","N!")</f>
        <v>N!</v>
      </c>
      <c r="CN8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2855</v>
      </c>
      <c r="CO86" s="53">
        <f>Table1[[#This Row],[Pledge]]-Table1[[#This Row],[Pledge Count]]</f>
        <v>2285</v>
      </c>
      <c r="CP86" s="32" t="str">
        <f>IF(Table1[[#This Row],[Backers]]=Table1[[#This Row],[Backers Count]],"OK!","N!")</f>
        <v>N!</v>
      </c>
      <c r="CQ86" s="32">
        <f>SUM(Table1[[#This Row],[Backers Level 1]:[Backers Level 36]])</f>
        <v>76</v>
      </c>
      <c r="CR86" s="32">
        <f>Table1[[#This Row],[Backers]]-Table1[[#This Row],[Backers Count]]</f>
        <v>8</v>
      </c>
      <c r="CS8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19</v>
      </c>
      <c r="CU8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22</v>
      </c>
      <c r="CV8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16</v>
      </c>
      <c r="CW8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11</v>
      </c>
      <c r="CX8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8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4</v>
      </c>
      <c r="CZ8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6"/>
      <c r="DE86"/>
      <c r="DG86"/>
      <c r="DI86"/>
      <c r="DK86"/>
      <c r="DM86"/>
      <c r="DO86"/>
      <c r="DQ86"/>
      <c r="DS86"/>
      <c r="DT86"/>
    </row>
    <row r="87" spans="1:124">
      <c r="A87" s="22" t="s">
        <v>386</v>
      </c>
      <c r="B87" s="25">
        <v>41335</v>
      </c>
      <c r="C87" s="23" t="s">
        <v>459</v>
      </c>
      <c r="D87" s="23" t="s">
        <v>460</v>
      </c>
      <c r="E87" s="24" t="s">
        <v>461</v>
      </c>
      <c r="F87" s="23" t="s">
        <v>190</v>
      </c>
      <c r="G87" s="44" t="s">
        <v>274</v>
      </c>
      <c r="H87" s="32" t="str">
        <f>RIGHT(Table1[[#This Row],[Location]],2)</f>
        <v>CA</v>
      </c>
      <c r="I87" s="25">
        <v>41284</v>
      </c>
      <c r="J87" s="25">
        <v>41319</v>
      </c>
      <c r="K87" s="37">
        <v>1075</v>
      </c>
      <c r="L87" s="37">
        <v>1000</v>
      </c>
      <c r="M87" s="43">
        <v>31</v>
      </c>
      <c r="N87" s="40">
        <v>362</v>
      </c>
      <c r="O87" s="26">
        <v>5</v>
      </c>
      <c r="P87" s="26">
        <v>10</v>
      </c>
      <c r="Q87" s="26">
        <v>25</v>
      </c>
      <c r="R87" s="27">
        <v>50</v>
      </c>
      <c r="S87" s="37">
        <v>150</v>
      </c>
      <c r="T87" s="37">
        <v>250</v>
      </c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24">
        <v>3</v>
      </c>
      <c r="AZ87" s="24">
        <v>5</v>
      </c>
      <c r="BA87" s="24">
        <v>8</v>
      </c>
      <c r="BB87" s="28">
        <v>6</v>
      </c>
      <c r="BC87" s="23">
        <v>2</v>
      </c>
      <c r="BD87" s="23">
        <v>0</v>
      </c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3"/>
      <c r="BP87" s="23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3"/>
      <c r="CH87" s="23"/>
      <c r="CI8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7">
        <f>COUNTA(Table1[[#This Row],[Reward Level 1]:[Reward Level 36]])</f>
        <v>6</v>
      </c>
      <c r="CK87">
        <f>COUNTIF(Table1[[#This Row],[Backers Level 1]:[Backers Level 36]],"&gt;0")</f>
        <v>5</v>
      </c>
      <c r="CL87" s="49">
        <f>Table1[[#This Row],[Pledge]]/Table1[[#This Row],[Backers]]</f>
        <v>34.677419354838712</v>
      </c>
      <c r="CM87" s="32" t="str">
        <f>IF(Table1[[#This Row],[Pledge]]=Table1[[#This Row],[Pledge Count]],"OK!","N!")</f>
        <v>N!</v>
      </c>
      <c r="CN8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865</v>
      </c>
      <c r="CO87" s="53">
        <f>Table1[[#This Row],[Pledge]]-Table1[[#This Row],[Pledge Count]]</f>
        <v>210</v>
      </c>
      <c r="CP87" s="32" t="str">
        <f>IF(Table1[[#This Row],[Backers]]=Table1[[#This Row],[Backers Count]],"OK!","N!")</f>
        <v>N!</v>
      </c>
      <c r="CQ87" s="32">
        <f>SUM(Table1[[#This Row],[Backers Level 1]:[Backers Level 36]])</f>
        <v>24</v>
      </c>
      <c r="CR87" s="32">
        <f>Table1[[#This Row],[Backers]]-Table1[[#This Row],[Backers Count]]</f>
        <v>7</v>
      </c>
      <c r="CS8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8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</v>
      </c>
      <c r="CU8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8</v>
      </c>
      <c r="CV8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</v>
      </c>
      <c r="CW8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8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2</v>
      </c>
      <c r="CY8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7"/>
      <c r="DE87"/>
      <c r="DG87"/>
      <c r="DI87"/>
      <c r="DK87"/>
      <c r="DM87"/>
      <c r="DO87"/>
      <c r="DQ87"/>
      <c r="DS87"/>
      <c r="DT87"/>
    </row>
    <row r="88" spans="1:124">
      <c r="A88" s="22" t="s">
        <v>387</v>
      </c>
      <c r="B88" s="25">
        <v>41335</v>
      </c>
      <c r="C88" s="23" t="s">
        <v>462</v>
      </c>
      <c r="D88" s="23" t="s">
        <v>463</v>
      </c>
      <c r="E88" s="24" t="s">
        <v>464</v>
      </c>
      <c r="F88" s="23" t="s">
        <v>11</v>
      </c>
      <c r="G88" s="44" t="s">
        <v>83</v>
      </c>
      <c r="H88" s="32" t="str">
        <f>RIGHT(Table1[[#This Row],[Location]],2)</f>
        <v>TN</v>
      </c>
      <c r="I88" s="25">
        <v>41258</v>
      </c>
      <c r="J88" s="25">
        <v>41318</v>
      </c>
      <c r="K88" s="37">
        <v>10082</v>
      </c>
      <c r="L88" s="37">
        <v>8000</v>
      </c>
      <c r="M88" s="43">
        <v>94</v>
      </c>
      <c r="N88" s="40">
        <v>695</v>
      </c>
      <c r="O88" s="26">
        <v>10</v>
      </c>
      <c r="P88" s="26">
        <v>25</v>
      </c>
      <c r="Q88" s="26">
        <v>50</v>
      </c>
      <c r="R88" s="27">
        <v>100</v>
      </c>
      <c r="S88" s="37">
        <v>250</v>
      </c>
      <c r="T88" s="37">
        <v>500</v>
      </c>
      <c r="U88" s="37">
        <v>1000</v>
      </c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24">
        <v>5</v>
      </c>
      <c r="AZ88" s="24">
        <v>30</v>
      </c>
      <c r="BA88" s="24">
        <v>14</v>
      </c>
      <c r="BB88" s="28">
        <v>11</v>
      </c>
      <c r="BC88" s="23">
        <v>4</v>
      </c>
      <c r="BD88" s="23">
        <v>1</v>
      </c>
      <c r="BE88" s="23">
        <v>4</v>
      </c>
      <c r="BF88" s="23"/>
      <c r="BG88" s="23"/>
      <c r="BH88" s="23"/>
      <c r="BI88" s="23"/>
      <c r="BJ88" s="23"/>
      <c r="BK88" s="23"/>
      <c r="BL88" s="23"/>
      <c r="BM88" s="23"/>
      <c r="BN88" s="23"/>
      <c r="BO88" s="23"/>
      <c r="BP88" s="23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3"/>
      <c r="CH88" s="23"/>
      <c r="CI8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88">
        <f>COUNTA(Table1[[#This Row],[Reward Level 1]:[Reward Level 36]])</f>
        <v>7</v>
      </c>
      <c r="CK88">
        <f>COUNTIF(Table1[[#This Row],[Backers Level 1]:[Backers Level 36]],"&gt;0")</f>
        <v>7</v>
      </c>
      <c r="CL88" s="49">
        <f>Table1[[#This Row],[Pledge]]/Table1[[#This Row],[Backers]]</f>
        <v>107.25531914893617</v>
      </c>
      <c r="CM88" s="32" t="str">
        <f>IF(Table1[[#This Row],[Pledge]]=Table1[[#This Row],[Pledge Count]],"OK!","N!")</f>
        <v>N!</v>
      </c>
      <c r="CN8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8100</v>
      </c>
      <c r="CO88" s="53">
        <f>Table1[[#This Row],[Pledge]]-Table1[[#This Row],[Pledge Count]]</f>
        <v>1982</v>
      </c>
      <c r="CP88" s="32" t="str">
        <f>IF(Table1[[#This Row],[Backers]]=Table1[[#This Row],[Backers Count]],"OK!","N!")</f>
        <v>N!</v>
      </c>
      <c r="CQ88" s="32">
        <f>SUM(Table1[[#This Row],[Backers Level 1]:[Backers Level 36]])</f>
        <v>69</v>
      </c>
      <c r="CR88" s="32">
        <f>Table1[[#This Row],[Backers]]-Table1[[#This Row],[Backers Count]]</f>
        <v>25</v>
      </c>
      <c r="CS8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5</v>
      </c>
      <c r="CU8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30</v>
      </c>
      <c r="CV8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14</v>
      </c>
      <c r="CW8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11</v>
      </c>
      <c r="CX8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8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8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4</v>
      </c>
      <c r="DA8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8"/>
      <c r="DE88"/>
      <c r="DG88"/>
      <c r="DI88"/>
      <c r="DK88"/>
      <c r="DM88"/>
      <c r="DO88"/>
      <c r="DQ88"/>
      <c r="DS88"/>
      <c r="DT88"/>
    </row>
    <row r="89" spans="1:124">
      <c r="A89" s="22" t="s">
        <v>388</v>
      </c>
      <c r="B89" s="25">
        <v>41335</v>
      </c>
      <c r="C89" s="23" t="s">
        <v>465</v>
      </c>
      <c r="D89" s="23" t="s">
        <v>466</v>
      </c>
      <c r="E89" s="24" t="s">
        <v>467</v>
      </c>
      <c r="F89" s="23" t="s">
        <v>11</v>
      </c>
      <c r="G89" s="44" t="s">
        <v>468</v>
      </c>
      <c r="H89" s="32" t="str">
        <f>RIGHT(Table1[[#This Row],[Location]],2)</f>
        <v>MA</v>
      </c>
      <c r="I89" s="25">
        <v>41288</v>
      </c>
      <c r="J89" s="25">
        <v>41318</v>
      </c>
      <c r="K89" s="37">
        <v>1545</v>
      </c>
      <c r="L89" s="37">
        <v>1500</v>
      </c>
      <c r="M89" s="43">
        <v>43</v>
      </c>
      <c r="N89" s="40">
        <v>1618</v>
      </c>
      <c r="O89" s="26">
        <v>1</v>
      </c>
      <c r="P89" s="26">
        <v>10</v>
      </c>
      <c r="Q89" s="26">
        <v>25</v>
      </c>
      <c r="R89" s="27">
        <v>50</v>
      </c>
      <c r="S89" s="37">
        <v>100</v>
      </c>
      <c r="T89" s="37">
        <v>250</v>
      </c>
      <c r="U89" s="37">
        <v>500</v>
      </c>
      <c r="V89" s="37">
        <v>1000</v>
      </c>
      <c r="W89" s="37">
        <v>10000</v>
      </c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24">
        <v>0</v>
      </c>
      <c r="AZ89" s="24">
        <v>17</v>
      </c>
      <c r="BA89" s="24">
        <v>11</v>
      </c>
      <c r="BB89" s="28">
        <v>9</v>
      </c>
      <c r="BC89" s="23">
        <v>1</v>
      </c>
      <c r="BD89" s="23">
        <v>1</v>
      </c>
      <c r="BE89" s="23">
        <v>0</v>
      </c>
      <c r="BF89" s="23">
        <v>0</v>
      </c>
      <c r="BG89" s="23">
        <v>0</v>
      </c>
      <c r="BH89" s="23"/>
      <c r="BI89" s="23"/>
      <c r="BJ89" s="23"/>
      <c r="BK89" s="23"/>
      <c r="BL89" s="23"/>
      <c r="BM89" s="23"/>
      <c r="BN89" s="23"/>
      <c r="BO89" s="23"/>
      <c r="BP89" s="23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3"/>
      <c r="CH89" s="23"/>
      <c r="CI8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89">
        <f>COUNTA(Table1[[#This Row],[Reward Level 1]:[Reward Level 36]])</f>
        <v>9</v>
      </c>
      <c r="CK89">
        <f>COUNTIF(Table1[[#This Row],[Backers Level 1]:[Backers Level 36]],"&gt;0")</f>
        <v>5</v>
      </c>
      <c r="CL89" s="49">
        <f>Table1[[#This Row],[Pledge]]/Table1[[#This Row],[Backers]]</f>
        <v>35.930232558139537</v>
      </c>
      <c r="CM89" s="32" t="str">
        <f>IF(Table1[[#This Row],[Pledge]]=Table1[[#This Row],[Pledge Count]],"OK!","N!")</f>
        <v>N!</v>
      </c>
      <c r="CN8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1245</v>
      </c>
      <c r="CO89" s="53">
        <f>Table1[[#This Row],[Pledge]]-Table1[[#This Row],[Pledge Count]]</f>
        <v>300</v>
      </c>
      <c r="CP89" s="32" t="str">
        <f>IF(Table1[[#This Row],[Backers]]=Table1[[#This Row],[Backers Count]],"OK!","N!")</f>
        <v>N!</v>
      </c>
      <c r="CQ89" s="32">
        <f>SUM(Table1[[#This Row],[Backers Level 1]:[Backers Level 36]])</f>
        <v>39</v>
      </c>
      <c r="CR89" s="32">
        <f>Table1[[#This Row],[Backers]]-Table1[[#This Row],[Backers Count]]</f>
        <v>4</v>
      </c>
      <c r="CS8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8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17</v>
      </c>
      <c r="CU8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11</v>
      </c>
      <c r="CV8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8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</v>
      </c>
      <c r="CX8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8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8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8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8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89"/>
      <c r="DE89"/>
      <c r="DG89"/>
      <c r="DI89"/>
      <c r="DK89"/>
      <c r="DM89"/>
      <c r="DO89"/>
      <c r="DQ89"/>
      <c r="DS89"/>
      <c r="DT89"/>
    </row>
    <row r="90" spans="1:124">
      <c r="A90" s="22" t="s">
        <v>389</v>
      </c>
      <c r="B90" s="25">
        <v>41335</v>
      </c>
      <c r="C90" s="23" t="s">
        <v>469</v>
      </c>
      <c r="D90" s="23" t="s">
        <v>470</v>
      </c>
      <c r="E90" s="24" t="s">
        <v>471</v>
      </c>
      <c r="F90" s="23" t="s">
        <v>51</v>
      </c>
      <c r="G90" s="44" t="s">
        <v>472</v>
      </c>
      <c r="H90" s="32" t="str">
        <f>RIGHT(Table1[[#This Row],[Location]],2)</f>
        <v>TX</v>
      </c>
      <c r="I90" s="25">
        <v>41298</v>
      </c>
      <c r="J90" s="25">
        <v>41318</v>
      </c>
      <c r="K90" s="37">
        <v>5700</v>
      </c>
      <c r="L90" s="37">
        <v>5500</v>
      </c>
      <c r="M90" s="43">
        <v>52</v>
      </c>
      <c r="N90" s="40"/>
      <c r="O90" s="26">
        <v>1</v>
      </c>
      <c r="P90" s="26">
        <v>5</v>
      </c>
      <c r="Q90" s="26">
        <v>10</v>
      </c>
      <c r="R90" s="27">
        <v>20</v>
      </c>
      <c r="S90" s="37">
        <v>50</v>
      </c>
      <c r="T90" s="37">
        <v>100</v>
      </c>
      <c r="U90" s="37">
        <v>150</v>
      </c>
      <c r="V90" s="37">
        <v>300</v>
      </c>
      <c r="W90" s="37">
        <v>500</v>
      </c>
      <c r="X90" s="37">
        <v>750</v>
      </c>
      <c r="Y90" s="37">
        <v>1000</v>
      </c>
      <c r="Z90" s="37">
        <v>2000</v>
      </c>
      <c r="AA90" s="37">
        <v>3500</v>
      </c>
      <c r="AB90" s="37">
        <v>5000</v>
      </c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24">
        <v>0</v>
      </c>
      <c r="AZ90" s="24">
        <v>0</v>
      </c>
      <c r="BA90" s="24">
        <v>4</v>
      </c>
      <c r="BB90" s="28">
        <v>14</v>
      </c>
      <c r="BC90" s="23">
        <v>5</v>
      </c>
      <c r="BD90" s="23">
        <v>16</v>
      </c>
      <c r="BE90" s="23">
        <v>4</v>
      </c>
      <c r="BF90" s="23">
        <v>0</v>
      </c>
      <c r="BG90" s="23">
        <v>2</v>
      </c>
      <c r="BH90" s="23">
        <v>0</v>
      </c>
      <c r="BI90" s="23">
        <v>0</v>
      </c>
      <c r="BJ90" s="23">
        <v>0</v>
      </c>
      <c r="BK90" s="23">
        <v>0</v>
      </c>
      <c r="BL90" s="23">
        <v>0</v>
      </c>
      <c r="BM90" s="23"/>
      <c r="BN90" s="23"/>
      <c r="BO90" s="23"/>
      <c r="BP90" s="23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3"/>
      <c r="CH90" s="23"/>
      <c r="CI9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0">
        <f>COUNTA(Table1[[#This Row],[Reward Level 1]:[Reward Level 36]])</f>
        <v>14</v>
      </c>
      <c r="CK90">
        <f>COUNTIF(Table1[[#This Row],[Backers Level 1]:[Backers Level 36]],"&gt;0")</f>
        <v>6</v>
      </c>
      <c r="CL90" s="49">
        <f>Table1[[#This Row],[Pledge]]/Table1[[#This Row],[Backers]]</f>
        <v>109.61538461538461</v>
      </c>
      <c r="CM90" s="32" t="str">
        <f>IF(Table1[[#This Row],[Pledge]]=Table1[[#This Row],[Pledge Count]],"OK!","N!")</f>
        <v>N!</v>
      </c>
      <c r="CN9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3770</v>
      </c>
      <c r="CO90" s="53">
        <f>Table1[[#This Row],[Pledge]]-Table1[[#This Row],[Pledge Count]]</f>
        <v>1930</v>
      </c>
      <c r="CP90" s="32" t="str">
        <f>IF(Table1[[#This Row],[Backers]]=Table1[[#This Row],[Backers Count]],"OK!","N!")</f>
        <v>N!</v>
      </c>
      <c r="CQ90" s="32">
        <f>SUM(Table1[[#This Row],[Backers Level 1]:[Backers Level 36]])</f>
        <v>45</v>
      </c>
      <c r="CR90" s="32">
        <f>Table1[[#This Row],[Backers]]-Table1[[#This Row],[Backers Count]]</f>
        <v>7</v>
      </c>
      <c r="CS9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9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9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9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</v>
      </c>
      <c r="CW9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16</v>
      </c>
      <c r="CX9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9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9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0"/>
      <c r="DE90"/>
      <c r="DG90"/>
      <c r="DI90"/>
      <c r="DK90"/>
      <c r="DM90"/>
      <c r="DO90"/>
      <c r="DQ90"/>
      <c r="DS90"/>
      <c r="DT90"/>
    </row>
    <row r="91" spans="1:124">
      <c r="A91" s="22" t="s">
        <v>390</v>
      </c>
      <c r="B91" s="25">
        <v>41335</v>
      </c>
      <c r="C91" s="23" t="s">
        <v>473</v>
      </c>
      <c r="D91" s="23" t="s">
        <v>474</v>
      </c>
      <c r="E91" s="24" t="s">
        <v>475</v>
      </c>
      <c r="F91" s="23" t="s">
        <v>269</v>
      </c>
      <c r="G91" s="44" t="s">
        <v>206</v>
      </c>
      <c r="H91" s="32" t="str">
        <f>RIGHT(Table1[[#This Row],[Location]],2)</f>
        <v>CA</v>
      </c>
      <c r="I91" s="25">
        <v>41288</v>
      </c>
      <c r="J91" s="25">
        <v>41318</v>
      </c>
      <c r="K91" s="37">
        <v>3077</v>
      </c>
      <c r="L91" s="37">
        <v>2500</v>
      </c>
      <c r="M91" s="43">
        <v>88</v>
      </c>
      <c r="N91" s="40">
        <v>870</v>
      </c>
      <c r="O91" s="26">
        <v>5</v>
      </c>
      <c r="P91" s="26">
        <v>15</v>
      </c>
      <c r="Q91" s="26">
        <v>20</v>
      </c>
      <c r="R91" s="27">
        <v>25</v>
      </c>
      <c r="S91" s="37">
        <v>100</v>
      </c>
      <c r="T91" s="37">
        <v>300</v>
      </c>
      <c r="U91" s="37">
        <v>500</v>
      </c>
      <c r="V91" s="37">
        <v>1000</v>
      </c>
      <c r="W91" s="37">
        <v>1500</v>
      </c>
      <c r="X91" s="37">
        <v>2500</v>
      </c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24">
        <v>3</v>
      </c>
      <c r="AZ91" s="24">
        <v>25</v>
      </c>
      <c r="BA91" s="24">
        <v>13</v>
      </c>
      <c r="BB91" s="28">
        <v>34</v>
      </c>
      <c r="BC91" s="23">
        <v>6</v>
      </c>
      <c r="BD91" s="23">
        <v>2</v>
      </c>
      <c r="BE91" s="23">
        <v>0</v>
      </c>
      <c r="BF91" s="23">
        <v>0</v>
      </c>
      <c r="BG91" s="23">
        <v>0</v>
      </c>
      <c r="BH91" s="23">
        <v>0</v>
      </c>
      <c r="BI91" s="23"/>
      <c r="BJ91" s="23"/>
      <c r="BK91" s="23"/>
      <c r="BL91" s="23"/>
      <c r="BM91" s="23"/>
      <c r="BN91" s="23"/>
      <c r="BO91" s="23"/>
      <c r="BP91" s="23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3"/>
      <c r="CH91" s="23"/>
      <c r="CI9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1">
        <f>COUNTA(Table1[[#This Row],[Reward Level 1]:[Reward Level 36]])</f>
        <v>10</v>
      </c>
      <c r="CK91">
        <f>COUNTIF(Table1[[#This Row],[Backers Level 1]:[Backers Level 36]],"&gt;0")</f>
        <v>6</v>
      </c>
      <c r="CL91" s="49">
        <f>Table1[[#This Row],[Pledge]]/Table1[[#This Row],[Backers]]</f>
        <v>34.965909090909093</v>
      </c>
      <c r="CM91" s="32" t="str">
        <f>IF(Table1[[#This Row],[Pledge]]=Table1[[#This Row],[Pledge Count]],"OK!","N!")</f>
        <v>N!</v>
      </c>
      <c r="CN9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2700</v>
      </c>
      <c r="CO91" s="53">
        <f>Table1[[#This Row],[Pledge]]-Table1[[#This Row],[Pledge Count]]</f>
        <v>377</v>
      </c>
      <c r="CP91" s="32" t="str">
        <f>IF(Table1[[#This Row],[Backers]]=Table1[[#This Row],[Backers Count]],"OK!","N!")</f>
        <v>N!</v>
      </c>
      <c r="CQ91" s="32">
        <f>SUM(Table1[[#This Row],[Backers Level 1]:[Backers Level 36]])</f>
        <v>83</v>
      </c>
      <c r="CR91" s="32">
        <f>Table1[[#This Row],[Backers]]-Table1[[#This Row],[Backers Count]]</f>
        <v>5</v>
      </c>
      <c r="CS9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9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72</v>
      </c>
      <c r="CV9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9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6</v>
      </c>
      <c r="CX9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9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2</v>
      </c>
      <c r="CZ9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1"/>
      <c r="DE91"/>
      <c r="DG91"/>
      <c r="DI91"/>
      <c r="DK91"/>
      <c r="DM91"/>
      <c r="DO91"/>
      <c r="DQ91"/>
      <c r="DS91"/>
      <c r="DT91"/>
    </row>
    <row r="92" spans="1:124">
      <c r="A92" s="22" t="s">
        <v>391</v>
      </c>
      <c r="B92" s="25">
        <v>41335</v>
      </c>
      <c r="C92" s="23" t="s">
        <v>476</v>
      </c>
      <c r="D92" s="23" t="s">
        <v>477</v>
      </c>
      <c r="E92" s="24" t="s">
        <v>478</v>
      </c>
      <c r="F92" s="23" t="s">
        <v>51</v>
      </c>
      <c r="G92" s="44" t="s">
        <v>479</v>
      </c>
      <c r="H92" s="32" t="str">
        <f>RIGHT(Table1[[#This Row],[Location]],2)</f>
        <v>NY</v>
      </c>
      <c r="I92" s="25">
        <v>41288</v>
      </c>
      <c r="J92" s="25">
        <v>41318</v>
      </c>
      <c r="K92" s="37">
        <v>60</v>
      </c>
      <c r="L92" s="37">
        <v>50</v>
      </c>
      <c r="M92" s="43">
        <v>4</v>
      </c>
      <c r="N92" s="40">
        <v>2107</v>
      </c>
      <c r="O92" s="26">
        <v>15</v>
      </c>
      <c r="P92" s="26">
        <v>50</v>
      </c>
      <c r="Q92" s="26"/>
      <c r="R92" s="2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  <c r="AF92" s="37"/>
      <c r="AG92" s="37"/>
      <c r="AH92" s="37"/>
      <c r="AI92" s="37"/>
      <c r="AJ92" s="37"/>
      <c r="AK92" s="37"/>
      <c r="AL92" s="37"/>
      <c r="AM92" s="37"/>
      <c r="AN92" s="37"/>
      <c r="AO92" s="37"/>
      <c r="AP92" s="37"/>
      <c r="AQ92" s="37"/>
      <c r="AR92" s="37"/>
      <c r="AS92" s="37"/>
      <c r="AT92" s="37"/>
      <c r="AU92" s="37"/>
      <c r="AV92" s="37"/>
      <c r="AW92" s="37"/>
      <c r="AX92" s="37"/>
      <c r="AY92" s="24">
        <v>1</v>
      </c>
      <c r="AZ92" s="24">
        <v>0</v>
      </c>
      <c r="BA92" s="24"/>
      <c r="BB92" s="28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3"/>
      <c r="CH92" s="23"/>
      <c r="CI9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92">
        <f>COUNTA(Table1[[#This Row],[Reward Level 1]:[Reward Level 36]])</f>
        <v>2</v>
      </c>
      <c r="CK92">
        <f>COUNTIF(Table1[[#This Row],[Backers Level 1]:[Backers Level 36]],"&gt;0")</f>
        <v>1</v>
      </c>
      <c r="CL92" s="49">
        <f>Table1[[#This Row],[Pledge]]/Table1[[#This Row],[Backers]]</f>
        <v>15</v>
      </c>
      <c r="CM92" s="32" t="str">
        <f>IF(Table1[[#This Row],[Pledge]]=Table1[[#This Row],[Pledge Count]],"OK!","N!")</f>
        <v>N!</v>
      </c>
      <c r="CN9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15</v>
      </c>
      <c r="CO92" s="53">
        <f>Table1[[#This Row],[Pledge]]-Table1[[#This Row],[Pledge Count]]</f>
        <v>45</v>
      </c>
      <c r="CP92" s="32" t="str">
        <f>IF(Table1[[#This Row],[Backers]]=Table1[[#This Row],[Backers Count]],"OK!","N!")</f>
        <v>N!</v>
      </c>
      <c r="CQ92" s="32">
        <f>SUM(Table1[[#This Row],[Backers Level 1]:[Backers Level 36]])</f>
        <v>1</v>
      </c>
      <c r="CR92" s="32">
        <f>Table1[[#This Row],[Backers]]-Table1[[#This Row],[Backers Count]]</f>
        <v>3</v>
      </c>
      <c r="CS9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9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</v>
      </c>
      <c r="CV9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0</v>
      </c>
      <c r="CW9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9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9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9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2"/>
      <c r="DE92"/>
      <c r="DG92"/>
      <c r="DI92"/>
      <c r="DK92"/>
      <c r="DM92"/>
      <c r="DO92"/>
      <c r="DQ92"/>
      <c r="DS92"/>
      <c r="DT92"/>
    </row>
    <row r="93" spans="1:124">
      <c r="A93" s="22" t="s">
        <v>392</v>
      </c>
      <c r="B93" s="25">
        <v>41335</v>
      </c>
      <c r="C93" s="23" t="s">
        <v>480</v>
      </c>
      <c r="D93" s="23" t="s">
        <v>481</v>
      </c>
      <c r="E93" s="24" t="s">
        <v>482</v>
      </c>
      <c r="F93" s="23" t="s">
        <v>11</v>
      </c>
      <c r="G93" s="44" t="s">
        <v>483</v>
      </c>
      <c r="H93" s="32" t="str">
        <f>RIGHT(Table1[[#This Row],[Location]],2)</f>
        <v>TN</v>
      </c>
      <c r="I93" s="25">
        <v>41277</v>
      </c>
      <c r="J93" s="25">
        <v>41318</v>
      </c>
      <c r="K93" s="37">
        <v>18000</v>
      </c>
      <c r="L93" s="37">
        <v>17771</v>
      </c>
      <c r="M93" s="43">
        <v>196</v>
      </c>
      <c r="N93" s="40">
        <v>1611</v>
      </c>
      <c r="O93" s="26">
        <v>1</v>
      </c>
      <c r="P93" s="26">
        <v>10</v>
      </c>
      <c r="Q93" s="26">
        <v>25</v>
      </c>
      <c r="R93" s="27">
        <v>45</v>
      </c>
      <c r="S93" s="37">
        <v>50</v>
      </c>
      <c r="T93" s="37">
        <v>75</v>
      </c>
      <c r="U93" s="37">
        <v>100</v>
      </c>
      <c r="V93" s="37">
        <v>150</v>
      </c>
      <c r="W93" s="37">
        <v>200</v>
      </c>
      <c r="X93" s="37">
        <v>250</v>
      </c>
      <c r="Y93" s="37">
        <v>300</v>
      </c>
      <c r="Z93" s="37">
        <v>500</v>
      </c>
      <c r="AA93" s="37">
        <v>1000</v>
      </c>
      <c r="AB93" s="37">
        <v>1000</v>
      </c>
      <c r="AC93" s="37">
        <v>1500</v>
      </c>
      <c r="AD93" s="37">
        <v>2000</v>
      </c>
      <c r="AE93" s="37">
        <v>2000</v>
      </c>
      <c r="AF93" s="37"/>
      <c r="AG93" s="37"/>
      <c r="AH93" s="37"/>
      <c r="AI93" s="37"/>
      <c r="AJ93" s="37"/>
      <c r="AK93" s="37"/>
      <c r="AL93" s="37"/>
      <c r="AM93" s="37"/>
      <c r="AN93" s="37"/>
      <c r="AO93" s="37"/>
      <c r="AP93" s="37"/>
      <c r="AQ93" s="37"/>
      <c r="AR93" s="37"/>
      <c r="AS93" s="37"/>
      <c r="AT93" s="37"/>
      <c r="AU93" s="37"/>
      <c r="AV93" s="37"/>
      <c r="AW93" s="37"/>
      <c r="AX93" s="37"/>
      <c r="AY93" s="24">
        <v>12</v>
      </c>
      <c r="AZ93" s="24">
        <v>36</v>
      </c>
      <c r="BA93" s="24">
        <v>39</v>
      </c>
      <c r="BB93" s="28">
        <v>10</v>
      </c>
      <c r="BC93" s="23">
        <v>23</v>
      </c>
      <c r="BD93" s="23">
        <v>5</v>
      </c>
      <c r="BE93" s="23">
        <v>20</v>
      </c>
      <c r="BF93" s="23">
        <v>1</v>
      </c>
      <c r="BG93" s="23">
        <v>0</v>
      </c>
      <c r="BH93" s="23">
        <v>3</v>
      </c>
      <c r="BI93" s="23">
        <v>1</v>
      </c>
      <c r="BJ93" s="23">
        <v>2</v>
      </c>
      <c r="BK93" s="23">
        <v>1</v>
      </c>
      <c r="BL93" s="23">
        <v>2</v>
      </c>
      <c r="BM93" s="23">
        <v>0</v>
      </c>
      <c r="BN93" s="23">
        <v>0</v>
      </c>
      <c r="BO93" s="23">
        <v>0</v>
      </c>
      <c r="BP93" s="23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3"/>
      <c r="CH93" s="23"/>
      <c r="CI9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93">
        <f>COUNTA(Table1[[#This Row],[Reward Level 1]:[Reward Level 36]])</f>
        <v>17</v>
      </c>
      <c r="CK93">
        <f>COUNTIF(Table1[[#This Row],[Backers Level 1]:[Backers Level 36]],"&gt;0")</f>
        <v>13</v>
      </c>
      <c r="CL93" s="49">
        <f>Table1[[#This Row],[Pledge]]/Table1[[#This Row],[Backers]]</f>
        <v>91.836734693877546</v>
      </c>
      <c r="CM93" s="32" t="str">
        <f>IF(Table1[[#This Row],[Pledge]]=Table1[[#This Row],[Pledge Count]],"OK!","N!")</f>
        <v>N!</v>
      </c>
      <c r="CN9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7522</v>
      </c>
      <c r="CO93" s="53">
        <f>Table1[[#This Row],[Pledge]]-Table1[[#This Row],[Pledge Count]]</f>
        <v>10478</v>
      </c>
      <c r="CP93" s="32" t="str">
        <f>IF(Table1[[#This Row],[Backers]]=Table1[[#This Row],[Backers Count]],"OK!","N!")</f>
        <v>N!</v>
      </c>
      <c r="CQ93" s="32">
        <f>SUM(Table1[[#This Row],[Backers Level 1]:[Backers Level 36]])</f>
        <v>155</v>
      </c>
      <c r="CR93" s="32">
        <f>Table1[[#This Row],[Backers]]-Table1[[#This Row],[Backers Count]]</f>
        <v>41</v>
      </c>
      <c r="CS9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12</v>
      </c>
      <c r="CT9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36</v>
      </c>
      <c r="CU9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39</v>
      </c>
      <c r="CV9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33</v>
      </c>
      <c r="CW9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25</v>
      </c>
      <c r="CX9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4</v>
      </c>
      <c r="CY9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3</v>
      </c>
      <c r="CZ9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3</v>
      </c>
      <c r="DA9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3"/>
      <c r="DE93"/>
      <c r="DG93"/>
      <c r="DI93"/>
      <c r="DK93"/>
      <c r="DM93"/>
      <c r="DO93"/>
      <c r="DQ93"/>
      <c r="DS93"/>
      <c r="DT93"/>
    </row>
    <row r="94" spans="1:124">
      <c r="A94" s="22" t="s">
        <v>393</v>
      </c>
      <c r="B94" s="25">
        <v>41335</v>
      </c>
      <c r="C94" s="23" t="s">
        <v>484</v>
      </c>
      <c r="D94" s="23" t="s">
        <v>485</v>
      </c>
      <c r="E94" s="24" t="s">
        <v>486</v>
      </c>
      <c r="F94" s="23" t="s">
        <v>51</v>
      </c>
      <c r="G94" s="44" t="s">
        <v>70</v>
      </c>
      <c r="H94" s="32" t="str">
        <f>RIGHT(Table1[[#This Row],[Location]],2)</f>
        <v>TN</v>
      </c>
      <c r="I94" s="25">
        <v>41293</v>
      </c>
      <c r="J94" s="25">
        <v>41317</v>
      </c>
      <c r="K94" s="37">
        <v>13843</v>
      </c>
      <c r="L94" s="37">
        <v>10000</v>
      </c>
      <c r="M94" s="43">
        <v>152</v>
      </c>
      <c r="N94" s="40">
        <v>4765</v>
      </c>
      <c r="O94" s="26">
        <v>5</v>
      </c>
      <c r="P94" s="26">
        <v>12</v>
      </c>
      <c r="Q94" s="26">
        <v>20</v>
      </c>
      <c r="R94" s="27">
        <v>30</v>
      </c>
      <c r="S94" s="37">
        <v>40</v>
      </c>
      <c r="T94" s="37">
        <v>75</v>
      </c>
      <c r="U94" s="37">
        <v>200</v>
      </c>
      <c r="V94" s="37">
        <v>1400</v>
      </c>
      <c r="W94" s="37">
        <v>2500</v>
      </c>
      <c r="X94" s="37"/>
      <c r="Y94" s="37"/>
      <c r="Z94" s="37"/>
      <c r="AA94" s="37"/>
      <c r="AB94" s="37"/>
      <c r="AC94" s="37"/>
      <c r="AD94" s="37"/>
      <c r="AE94" s="37"/>
      <c r="AF94" s="37"/>
      <c r="AG94" s="37"/>
      <c r="AH94" s="37"/>
      <c r="AI94" s="37"/>
      <c r="AJ94" s="37"/>
      <c r="AK94" s="37"/>
      <c r="AL94" s="37"/>
      <c r="AM94" s="37"/>
      <c r="AN94" s="37"/>
      <c r="AO94" s="37"/>
      <c r="AP94" s="37"/>
      <c r="AQ94" s="37"/>
      <c r="AR94" s="37"/>
      <c r="AS94" s="37"/>
      <c r="AT94" s="37"/>
      <c r="AU94" s="37"/>
      <c r="AV94" s="37"/>
      <c r="AW94" s="37"/>
      <c r="AX94" s="37"/>
      <c r="AY94" s="24">
        <v>10</v>
      </c>
      <c r="AZ94" s="24">
        <v>15</v>
      </c>
      <c r="BA94" s="24">
        <v>34</v>
      </c>
      <c r="BB94" s="28">
        <v>17</v>
      </c>
      <c r="BC94" s="23">
        <v>46</v>
      </c>
      <c r="BD94" s="23">
        <v>11</v>
      </c>
      <c r="BE94" s="23">
        <v>7</v>
      </c>
      <c r="BF94" s="23">
        <v>0</v>
      </c>
      <c r="BG94" s="23">
        <v>3</v>
      </c>
      <c r="BH94" s="23"/>
      <c r="BI94" s="23"/>
      <c r="BJ94" s="23"/>
      <c r="BK94" s="23"/>
      <c r="BL94" s="23"/>
      <c r="BM94" s="23"/>
      <c r="BN94" s="23"/>
      <c r="BO94" s="23"/>
      <c r="BP94" s="23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3"/>
      <c r="CH94" s="23"/>
      <c r="CI94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94">
        <f>COUNTA(Table1[[#This Row],[Reward Level 1]:[Reward Level 36]])</f>
        <v>9</v>
      </c>
      <c r="CK94">
        <f>COUNTIF(Table1[[#This Row],[Backers Level 1]:[Backers Level 36]],"&gt;0")</f>
        <v>8</v>
      </c>
      <c r="CL94" s="49">
        <f>Table1[[#This Row],[Pledge]]/Table1[[#This Row],[Backers]]</f>
        <v>91.07236842105263</v>
      </c>
      <c r="CM94" s="32" t="str">
        <f>IF(Table1[[#This Row],[Pledge]]=Table1[[#This Row],[Pledge Count]],"OK!","N!")</f>
        <v>N!</v>
      </c>
      <c r="CN94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12985</v>
      </c>
      <c r="CO94" s="53">
        <f>Table1[[#This Row],[Pledge]]-Table1[[#This Row],[Pledge Count]]</f>
        <v>858</v>
      </c>
      <c r="CP94" s="32" t="str">
        <f>IF(Table1[[#This Row],[Backers]]=Table1[[#This Row],[Backers Count]],"OK!","N!")</f>
        <v>N!</v>
      </c>
      <c r="CQ94" s="32">
        <f>SUM(Table1[[#This Row],[Backers Level 1]:[Backers Level 36]])</f>
        <v>143</v>
      </c>
      <c r="CR94" s="32">
        <f>Table1[[#This Row],[Backers]]-Table1[[#This Row],[Backers Count]]</f>
        <v>9</v>
      </c>
      <c r="CS94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10</v>
      </c>
      <c r="CT94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4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49</v>
      </c>
      <c r="CV94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63</v>
      </c>
      <c r="CW94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11</v>
      </c>
      <c r="CX94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7</v>
      </c>
      <c r="CY94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94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4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3</v>
      </c>
      <c r="DB94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4"/>
      <c r="DE94"/>
      <c r="DG94"/>
      <c r="DI94"/>
      <c r="DK94"/>
      <c r="DM94"/>
      <c r="DO94"/>
      <c r="DQ94"/>
      <c r="DS94"/>
      <c r="DT94"/>
    </row>
    <row r="95" spans="1:124">
      <c r="A95" s="22" t="s">
        <v>394</v>
      </c>
      <c r="B95" s="25">
        <v>41335</v>
      </c>
      <c r="C95" s="23" t="s">
        <v>487</v>
      </c>
      <c r="D95" s="23" t="s">
        <v>488</v>
      </c>
      <c r="E95" s="24" t="s">
        <v>489</v>
      </c>
      <c r="F95" s="23" t="s">
        <v>269</v>
      </c>
      <c r="G95" s="44" t="s">
        <v>61</v>
      </c>
      <c r="H95" s="32" t="str">
        <f>RIGHT(Table1[[#This Row],[Location]],2)</f>
        <v>CO</v>
      </c>
      <c r="I95" s="25">
        <v>41284</v>
      </c>
      <c r="J95" s="25">
        <v>41317</v>
      </c>
      <c r="K95" s="37">
        <v>2140</v>
      </c>
      <c r="L95" s="37">
        <v>2000</v>
      </c>
      <c r="M95" s="43">
        <v>44</v>
      </c>
      <c r="N95" s="40">
        <v>410</v>
      </c>
      <c r="O95" s="26">
        <v>15</v>
      </c>
      <c r="P95" s="26">
        <v>50</v>
      </c>
      <c r="Q95" s="26">
        <v>100</v>
      </c>
      <c r="R95" s="27">
        <v>500</v>
      </c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37"/>
      <c r="AG95" s="37"/>
      <c r="AH95" s="37"/>
      <c r="AI95" s="37"/>
      <c r="AJ95" s="37"/>
      <c r="AK95" s="37"/>
      <c r="AL95" s="37"/>
      <c r="AM95" s="37"/>
      <c r="AN95" s="37"/>
      <c r="AO95" s="37"/>
      <c r="AP95" s="37"/>
      <c r="AQ95" s="37"/>
      <c r="AR95" s="37"/>
      <c r="AS95" s="37"/>
      <c r="AT95" s="37"/>
      <c r="AU95" s="37"/>
      <c r="AV95" s="37"/>
      <c r="AW95" s="37"/>
      <c r="AX95" s="37"/>
      <c r="AY95" s="24">
        <v>24</v>
      </c>
      <c r="AZ95" s="24">
        <v>9</v>
      </c>
      <c r="BA95" s="24">
        <v>4</v>
      </c>
      <c r="BB95" s="28">
        <v>1</v>
      </c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3"/>
      <c r="BP95" s="23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3"/>
      <c r="CH95" s="23"/>
      <c r="CI95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5">
        <f>COUNTA(Table1[[#This Row],[Reward Level 1]:[Reward Level 36]])</f>
        <v>4</v>
      </c>
      <c r="CK95">
        <f>COUNTIF(Table1[[#This Row],[Backers Level 1]:[Backers Level 36]],"&gt;0")</f>
        <v>4</v>
      </c>
      <c r="CL95" s="49">
        <f>Table1[[#This Row],[Pledge]]/Table1[[#This Row],[Backers]]</f>
        <v>48.636363636363633</v>
      </c>
      <c r="CM95" s="32" t="str">
        <f>IF(Table1[[#This Row],[Pledge]]=Table1[[#This Row],[Pledge Count]],"OK!","N!")</f>
        <v>N!</v>
      </c>
      <c r="CN95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1710</v>
      </c>
      <c r="CO95" s="53">
        <f>Table1[[#This Row],[Pledge]]-Table1[[#This Row],[Pledge Count]]</f>
        <v>430</v>
      </c>
      <c r="CP95" s="32" t="str">
        <f>IF(Table1[[#This Row],[Backers]]=Table1[[#This Row],[Backers Count]],"OK!","N!")</f>
        <v>N!</v>
      </c>
      <c r="CQ95" s="32">
        <f>SUM(Table1[[#This Row],[Backers Level 1]:[Backers Level 36]])</f>
        <v>38</v>
      </c>
      <c r="CR95" s="32">
        <f>Table1[[#This Row],[Backers]]-Table1[[#This Row],[Backers Count]]</f>
        <v>6</v>
      </c>
      <c r="CS95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95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5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24</v>
      </c>
      <c r="CV95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95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</v>
      </c>
      <c r="CX95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95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95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5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5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5"/>
      <c r="DE95"/>
      <c r="DG95"/>
      <c r="DI95"/>
      <c r="DK95"/>
      <c r="DM95"/>
      <c r="DO95"/>
      <c r="DQ95"/>
      <c r="DS95"/>
      <c r="DT95"/>
    </row>
    <row r="96" spans="1:124">
      <c r="A96" s="22" t="s">
        <v>395</v>
      </c>
      <c r="B96" s="25">
        <v>41335</v>
      </c>
      <c r="C96" s="23" t="s">
        <v>490</v>
      </c>
      <c r="D96" s="23" t="s">
        <v>491</v>
      </c>
      <c r="E96" s="24" t="s">
        <v>492</v>
      </c>
      <c r="F96" s="23" t="s">
        <v>87</v>
      </c>
      <c r="G96" s="44" t="s">
        <v>493</v>
      </c>
      <c r="H96" s="32" t="str">
        <f>RIGHT(Table1[[#This Row],[Location]],2)</f>
        <v>NY</v>
      </c>
      <c r="I96" s="25">
        <v>41282</v>
      </c>
      <c r="J96" s="25">
        <v>41317</v>
      </c>
      <c r="K96" s="37">
        <v>540</v>
      </c>
      <c r="L96" s="37">
        <v>450</v>
      </c>
      <c r="M96" s="43">
        <v>16</v>
      </c>
      <c r="N96" s="40"/>
      <c r="O96" s="26">
        <v>5</v>
      </c>
      <c r="P96" s="26">
        <v>15</v>
      </c>
      <c r="Q96" s="26">
        <v>25</v>
      </c>
      <c r="R96" s="27">
        <v>35</v>
      </c>
      <c r="S96" s="37">
        <v>50</v>
      </c>
      <c r="T96" s="37">
        <v>50</v>
      </c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37"/>
      <c r="AG96" s="37"/>
      <c r="AH96" s="37"/>
      <c r="AI96" s="37"/>
      <c r="AJ96" s="37"/>
      <c r="AK96" s="37"/>
      <c r="AL96" s="37"/>
      <c r="AM96" s="37"/>
      <c r="AN96" s="37"/>
      <c r="AO96" s="37"/>
      <c r="AP96" s="37"/>
      <c r="AQ96" s="37"/>
      <c r="AR96" s="37"/>
      <c r="AS96" s="37"/>
      <c r="AT96" s="37"/>
      <c r="AU96" s="37"/>
      <c r="AV96" s="37"/>
      <c r="AW96" s="37"/>
      <c r="AX96" s="37"/>
      <c r="AY96" s="24">
        <v>3</v>
      </c>
      <c r="AZ96" s="24">
        <v>4</v>
      </c>
      <c r="BA96" s="24">
        <v>3</v>
      </c>
      <c r="BB96" s="28">
        <v>0</v>
      </c>
      <c r="BC96" s="23">
        <v>3</v>
      </c>
      <c r="BD96" s="23">
        <v>0</v>
      </c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3"/>
      <c r="CH96" s="23"/>
      <c r="CI96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A - Less than $1,000 Raised</v>
      </c>
      <c r="CJ96">
        <f>COUNTA(Table1[[#This Row],[Reward Level 1]:[Reward Level 36]])</f>
        <v>6</v>
      </c>
      <c r="CK96">
        <f>COUNTIF(Table1[[#This Row],[Backers Level 1]:[Backers Level 36]],"&gt;0")</f>
        <v>4</v>
      </c>
      <c r="CL96" s="49">
        <f>Table1[[#This Row],[Pledge]]/Table1[[#This Row],[Backers]]</f>
        <v>33.75</v>
      </c>
      <c r="CM96" s="32" t="str">
        <f>IF(Table1[[#This Row],[Pledge]]=Table1[[#This Row],[Pledge Count]],"OK!","N!")</f>
        <v>N!</v>
      </c>
      <c r="CN96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300</v>
      </c>
      <c r="CO96" s="53">
        <f>Table1[[#This Row],[Pledge]]-Table1[[#This Row],[Pledge Count]]</f>
        <v>240</v>
      </c>
      <c r="CP96" s="32" t="str">
        <f>IF(Table1[[#This Row],[Backers]]=Table1[[#This Row],[Backers Count]],"OK!","N!")</f>
        <v>N!</v>
      </c>
      <c r="CQ96" s="32">
        <f>SUM(Table1[[#This Row],[Backers Level 1]:[Backers Level 36]])</f>
        <v>13</v>
      </c>
      <c r="CR96" s="32">
        <f>Table1[[#This Row],[Backers]]-Table1[[#This Row],[Backers Count]]</f>
        <v>3</v>
      </c>
      <c r="CS96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3</v>
      </c>
      <c r="CT96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6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7</v>
      </c>
      <c r="CV96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</v>
      </c>
      <c r="CW96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0</v>
      </c>
      <c r="CX96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96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96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6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6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6"/>
      <c r="DE96"/>
      <c r="DG96"/>
      <c r="DI96"/>
      <c r="DK96"/>
      <c r="DM96"/>
      <c r="DO96"/>
      <c r="DQ96"/>
      <c r="DS96"/>
      <c r="DT96"/>
    </row>
    <row r="97" spans="1:124">
      <c r="A97" s="22" t="s">
        <v>396</v>
      </c>
      <c r="B97" s="25">
        <v>41335</v>
      </c>
      <c r="C97" s="23" t="s">
        <v>494</v>
      </c>
      <c r="D97" s="23" t="s">
        <v>495</v>
      </c>
      <c r="E97" s="24" t="s">
        <v>496</v>
      </c>
      <c r="F97" s="23" t="s">
        <v>11</v>
      </c>
      <c r="G97" s="44" t="s">
        <v>497</v>
      </c>
      <c r="H97" s="32" t="str">
        <f>RIGHT(Table1[[#This Row],[Location]],2)</f>
        <v>CA</v>
      </c>
      <c r="I97" s="25">
        <v>41274</v>
      </c>
      <c r="J97" s="25">
        <v>41317</v>
      </c>
      <c r="K97" s="37">
        <v>4005</v>
      </c>
      <c r="L97" s="37">
        <v>3333</v>
      </c>
      <c r="M97" s="43">
        <v>73</v>
      </c>
      <c r="N97" s="40">
        <v>591</v>
      </c>
      <c r="O97" s="26">
        <v>10</v>
      </c>
      <c r="P97" s="26">
        <v>11</v>
      </c>
      <c r="Q97" s="26">
        <v>14</v>
      </c>
      <c r="R97" s="27">
        <v>19</v>
      </c>
      <c r="S97" s="37">
        <v>20</v>
      </c>
      <c r="T97" s="37">
        <v>40</v>
      </c>
      <c r="U97" s="37">
        <v>70</v>
      </c>
      <c r="V97" s="37">
        <v>300</v>
      </c>
      <c r="W97" s="37">
        <v>500</v>
      </c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37"/>
      <c r="AI97" s="37"/>
      <c r="AJ97" s="37"/>
      <c r="AK97" s="37"/>
      <c r="AL97" s="37"/>
      <c r="AM97" s="37"/>
      <c r="AN97" s="37"/>
      <c r="AO97" s="37"/>
      <c r="AP97" s="37"/>
      <c r="AQ97" s="37"/>
      <c r="AR97" s="37"/>
      <c r="AS97" s="37"/>
      <c r="AT97" s="37"/>
      <c r="AU97" s="37"/>
      <c r="AV97" s="37"/>
      <c r="AW97" s="37"/>
      <c r="AX97" s="37"/>
      <c r="AY97" s="24">
        <v>2</v>
      </c>
      <c r="AZ97" s="24">
        <v>6</v>
      </c>
      <c r="BA97" s="24">
        <v>0</v>
      </c>
      <c r="BB97" s="28">
        <v>26</v>
      </c>
      <c r="BC97" s="23">
        <v>6</v>
      </c>
      <c r="BD97" s="23">
        <v>9</v>
      </c>
      <c r="BE97" s="23">
        <v>7</v>
      </c>
      <c r="BF97" s="23">
        <v>0</v>
      </c>
      <c r="BG97" s="23">
        <v>1</v>
      </c>
      <c r="BH97" s="23"/>
      <c r="BI97" s="23"/>
      <c r="BJ97" s="23"/>
      <c r="BK97" s="23"/>
      <c r="BL97" s="23"/>
      <c r="BM97" s="23"/>
      <c r="BN97" s="23"/>
      <c r="BO97" s="23"/>
      <c r="BP97" s="23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3"/>
      <c r="CH97" s="23"/>
      <c r="CI97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7">
        <f>COUNTA(Table1[[#This Row],[Reward Level 1]:[Reward Level 36]])</f>
        <v>9</v>
      </c>
      <c r="CK97">
        <f>COUNTIF(Table1[[#This Row],[Backers Level 1]:[Backers Level 36]],"&gt;0")</f>
        <v>7</v>
      </c>
      <c r="CL97" s="49">
        <f>Table1[[#This Row],[Pledge]]/Table1[[#This Row],[Backers]]</f>
        <v>54.863013698630134</v>
      </c>
      <c r="CM97" s="32" t="str">
        <f>IF(Table1[[#This Row],[Pledge]]=Table1[[#This Row],[Pledge Count]],"OK!","N!")</f>
        <v>N!</v>
      </c>
      <c r="CN97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2050</v>
      </c>
      <c r="CO97" s="53">
        <f>Table1[[#This Row],[Pledge]]-Table1[[#This Row],[Pledge Count]]</f>
        <v>1955</v>
      </c>
      <c r="CP97" s="32" t="str">
        <f>IF(Table1[[#This Row],[Backers]]=Table1[[#This Row],[Backers Count]],"OK!","N!")</f>
        <v>N!</v>
      </c>
      <c r="CQ97" s="32">
        <f>SUM(Table1[[#This Row],[Backers Level 1]:[Backers Level 36]])</f>
        <v>57</v>
      </c>
      <c r="CR97" s="32">
        <f>Table1[[#This Row],[Backers]]-Table1[[#This Row],[Backers Count]]</f>
        <v>16</v>
      </c>
      <c r="CS97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97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</v>
      </c>
      <c r="CU97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38</v>
      </c>
      <c r="CV97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9</v>
      </c>
      <c r="CW97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</v>
      </c>
      <c r="CX97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97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97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7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7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7"/>
      <c r="DE97"/>
      <c r="DG97"/>
      <c r="DI97"/>
      <c r="DK97"/>
      <c r="DM97"/>
      <c r="DO97"/>
      <c r="DQ97"/>
      <c r="DS97"/>
      <c r="DT97"/>
    </row>
    <row r="98" spans="1:124">
      <c r="A98" s="22" t="s">
        <v>397</v>
      </c>
      <c r="B98" s="25">
        <v>41335</v>
      </c>
      <c r="C98" s="23" t="s">
        <v>498</v>
      </c>
      <c r="D98" s="23" t="s">
        <v>499</v>
      </c>
      <c r="E98" s="24" t="s">
        <v>500</v>
      </c>
      <c r="F98" s="23" t="s">
        <v>87</v>
      </c>
      <c r="G98" s="44" t="s">
        <v>249</v>
      </c>
      <c r="H98" s="32" t="str">
        <f>RIGHT(Table1[[#This Row],[Location]],2)</f>
        <v>TX</v>
      </c>
      <c r="I98" s="25">
        <v>41257</v>
      </c>
      <c r="J98" s="25">
        <v>41316</v>
      </c>
      <c r="K98" s="37">
        <v>20000</v>
      </c>
      <c r="L98" s="37">
        <v>20000</v>
      </c>
      <c r="M98" s="43">
        <v>62</v>
      </c>
      <c r="N98" s="40">
        <v>635</v>
      </c>
      <c r="O98" s="26">
        <v>1</v>
      </c>
      <c r="P98" s="26">
        <v>5</v>
      </c>
      <c r="Q98" s="26">
        <v>15</v>
      </c>
      <c r="R98" s="27">
        <v>30</v>
      </c>
      <c r="S98" s="37">
        <v>50</v>
      </c>
      <c r="T98" s="37">
        <v>100</v>
      </c>
      <c r="U98" s="37">
        <v>250</v>
      </c>
      <c r="V98" s="37">
        <v>500</v>
      </c>
      <c r="W98" s="37">
        <v>700</v>
      </c>
      <c r="X98" s="37">
        <v>1000</v>
      </c>
      <c r="Y98" s="37">
        <v>1250</v>
      </c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  <c r="AK98" s="37"/>
      <c r="AL98" s="37"/>
      <c r="AM98" s="37"/>
      <c r="AN98" s="37"/>
      <c r="AO98" s="37"/>
      <c r="AP98" s="37"/>
      <c r="AQ98" s="37"/>
      <c r="AR98" s="37"/>
      <c r="AS98" s="37"/>
      <c r="AT98" s="37"/>
      <c r="AU98" s="37"/>
      <c r="AV98" s="37"/>
      <c r="AW98" s="37"/>
      <c r="AX98" s="37"/>
      <c r="AY98" s="24">
        <v>1</v>
      </c>
      <c r="AZ98" s="24">
        <v>8</v>
      </c>
      <c r="BA98" s="24">
        <v>14</v>
      </c>
      <c r="BB98" s="28">
        <v>1</v>
      </c>
      <c r="BC98" s="23">
        <v>15</v>
      </c>
      <c r="BD98" s="23">
        <v>7</v>
      </c>
      <c r="BE98" s="23">
        <v>1</v>
      </c>
      <c r="BF98" s="23">
        <v>0</v>
      </c>
      <c r="BG98" s="23">
        <v>0</v>
      </c>
      <c r="BH98" s="23">
        <v>0</v>
      </c>
      <c r="BI98" s="23">
        <v>0</v>
      </c>
      <c r="BJ98" s="23"/>
      <c r="BK98" s="23"/>
      <c r="BL98" s="23"/>
      <c r="BM98" s="23"/>
      <c r="BN98" s="23"/>
      <c r="BO98" s="23"/>
      <c r="BP98" s="23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3"/>
      <c r="CH98" s="23"/>
      <c r="CI98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D - $20,000 to $99,999 Raised</v>
      </c>
      <c r="CJ98">
        <f>COUNTA(Table1[[#This Row],[Reward Level 1]:[Reward Level 36]])</f>
        <v>11</v>
      </c>
      <c r="CK98">
        <f>COUNTIF(Table1[[#This Row],[Backers Level 1]:[Backers Level 36]],"&gt;0")</f>
        <v>7</v>
      </c>
      <c r="CL98" s="49">
        <f>Table1[[#This Row],[Pledge]]/Table1[[#This Row],[Backers]]</f>
        <v>322.58064516129031</v>
      </c>
      <c r="CM98" s="32" t="str">
        <f>IF(Table1[[#This Row],[Pledge]]=Table1[[#This Row],[Pledge Count]],"OK!","N!")</f>
        <v>N!</v>
      </c>
      <c r="CN98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1981</v>
      </c>
      <c r="CO98" s="53">
        <f>Table1[[#This Row],[Pledge]]-Table1[[#This Row],[Pledge Count]]</f>
        <v>18019</v>
      </c>
      <c r="CP98" s="32" t="str">
        <f>IF(Table1[[#This Row],[Backers]]=Table1[[#This Row],[Backers Count]],"OK!","N!")</f>
        <v>N!</v>
      </c>
      <c r="CQ98" s="32">
        <f>SUM(Table1[[#This Row],[Backers Level 1]:[Backers Level 36]])</f>
        <v>47</v>
      </c>
      <c r="CR98" s="32">
        <f>Table1[[#This Row],[Backers]]-Table1[[#This Row],[Backers Count]]</f>
        <v>15</v>
      </c>
      <c r="CS98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9</v>
      </c>
      <c r="CT98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98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14</v>
      </c>
      <c r="CV98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16</v>
      </c>
      <c r="CW98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7</v>
      </c>
      <c r="CX98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</v>
      </c>
      <c r="CY98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0</v>
      </c>
      <c r="CZ98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8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8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8"/>
      <c r="DE98"/>
      <c r="DG98"/>
      <c r="DI98"/>
      <c r="DK98"/>
      <c r="DM98"/>
      <c r="DO98"/>
      <c r="DQ98"/>
      <c r="DS98"/>
      <c r="DT98"/>
    </row>
    <row r="99" spans="1:124">
      <c r="A99" s="22" t="s">
        <v>398</v>
      </c>
      <c r="B99" s="25">
        <v>41335</v>
      </c>
      <c r="C99" s="23" t="s">
        <v>501</v>
      </c>
      <c r="D99" s="23" t="s">
        <v>502</v>
      </c>
      <c r="E99" s="24" t="s">
        <v>503</v>
      </c>
      <c r="F99" s="23" t="s">
        <v>87</v>
      </c>
      <c r="G99" s="44" t="s">
        <v>111</v>
      </c>
      <c r="H99" s="32" t="str">
        <f>RIGHT(Table1[[#This Row],[Location]],2)</f>
        <v>NY</v>
      </c>
      <c r="I99" s="25">
        <v>41298</v>
      </c>
      <c r="J99" s="25">
        <v>41316</v>
      </c>
      <c r="K99" s="37">
        <v>6611</v>
      </c>
      <c r="L99" s="37">
        <v>3600</v>
      </c>
      <c r="M99" s="43">
        <v>189</v>
      </c>
      <c r="N99" s="40">
        <v>4606</v>
      </c>
      <c r="O99" s="26">
        <v>1</v>
      </c>
      <c r="P99" s="26">
        <v>9</v>
      </c>
      <c r="Q99" s="26">
        <v>18</v>
      </c>
      <c r="R99" s="27">
        <v>36</v>
      </c>
      <c r="S99" s="37">
        <v>36</v>
      </c>
      <c r="T99" s="37">
        <v>36</v>
      </c>
      <c r="U99" s="37">
        <v>72</v>
      </c>
      <c r="V99" s="37">
        <v>90</v>
      </c>
      <c r="W99" s="37">
        <v>180</v>
      </c>
      <c r="X99" s="37">
        <v>360</v>
      </c>
      <c r="Y99" s="37">
        <v>360</v>
      </c>
      <c r="Z99" s="37">
        <v>900</v>
      </c>
      <c r="AA99" s="37">
        <v>1800</v>
      </c>
      <c r="AB99" s="37">
        <v>3600</v>
      </c>
      <c r="AC99" s="37"/>
      <c r="AD99" s="37"/>
      <c r="AE99" s="37"/>
      <c r="AF99" s="37"/>
      <c r="AG99" s="37"/>
      <c r="AH99" s="37"/>
      <c r="AI99" s="37"/>
      <c r="AJ99" s="37"/>
      <c r="AK99" s="37"/>
      <c r="AL99" s="37"/>
      <c r="AM99" s="37"/>
      <c r="AN99" s="37"/>
      <c r="AO99" s="37"/>
      <c r="AP99" s="37"/>
      <c r="AQ99" s="37"/>
      <c r="AR99" s="37"/>
      <c r="AS99" s="37"/>
      <c r="AT99" s="37"/>
      <c r="AU99" s="37"/>
      <c r="AV99" s="37"/>
      <c r="AW99" s="37"/>
      <c r="AX99" s="37"/>
      <c r="AY99" s="24">
        <v>42</v>
      </c>
      <c r="AZ99" s="24">
        <v>29</v>
      </c>
      <c r="BA99" s="24">
        <v>52</v>
      </c>
      <c r="BB99" s="28">
        <v>10</v>
      </c>
      <c r="BC99" s="23">
        <v>19</v>
      </c>
      <c r="BD99" s="23">
        <v>10</v>
      </c>
      <c r="BE99" s="23">
        <v>2</v>
      </c>
      <c r="BF99" s="23">
        <v>16</v>
      </c>
      <c r="BG99" s="23">
        <v>3</v>
      </c>
      <c r="BH99" s="23">
        <v>2</v>
      </c>
      <c r="BI99" s="23">
        <v>2</v>
      </c>
      <c r="BJ99" s="23">
        <v>0</v>
      </c>
      <c r="BK99" s="23">
        <v>0</v>
      </c>
      <c r="BL99" s="23">
        <v>0</v>
      </c>
      <c r="BM99" s="23"/>
      <c r="BN99" s="23"/>
      <c r="BO99" s="23"/>
      <c r="BP99" s="23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3"/>
      <c r="CH99" s="23"/>
      <c r="CI99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99">
        <f>COUNTA(Table1[[#This Row],[Reward Level 1]:[Reward Level 36]])</f>
        <v>14</v>
      </c>
      <c r="CK99">
        <f>COUNTIF(Table1[[#This Row],[Backers Level 1]:[Backers Level 36]],"&gt;0")</f>
        <v>11</v>
      </c>
      <c r="CL99" s="49">
        <f>Table1[[#This Row],[Pledge]]/Table1[[#This Row],[Backers]]</f>
        <v>34.978835978835981</v>
      </c>
      <c r="CM99" s="32" t="str">
        <f>IF(Table1[[#This Row],[Pledge]]=Table1[[#This Row],[Pledge Count]],"OK!","N!")</f>
        <v>N!</v>
      </c>
      <c r="CN99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6207</v>
      </c>
      <c r="CO99" s="53">
        <f>Table1[[#This Row],[Pledge]]-Table1[[#This Row],[Pledge Count]]</f>
        <v>404</v>
      </c>
      <c r="CP99" s="32" t="str">
        <f>IF(Table1[[#This Row],[Backers]]=Table1[[#This Row],[Backers Count]],"OK!","N!")</f>
        <v>N!</v>
      </c>
      <c r="CQ99" s="32">
        <f>SUM(Table1[[#This Row],[Backers Level 1]:[Backers Level 36]])</f>
        <v>187</v>
      </c>
      <c r="CR99" s="32">
        <f>Table1[[#This Row],[Backers]]-Table1[[#This Row],[Backers Count]]</f>
        <v>2</v>
      </c>
      <c r="CS99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42</v>
      </c>
      <c r="CT99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29</v>
      </c>
      <c r="CU99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52</v>
      </c>
      <c r="CV99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39</v>
      </c>
      <c r="CW99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18</v>
      </c>
      <c r="CX99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99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4</v>
      </c>
      <c r="CZ99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0</v>
      </c>
      <c r="DA99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99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99"/>
      <c r="DE99"/>
      <c r="DG99"/>
      <c r="DI99"/>
      <c r="DK99"/>
      <c r="DM99"/>
      <c r="DO99"/>
      <c r="DQ99"/>
      <c r="DS99"/>
      <c r="DT99"/>
    </row>
    <row r="100" spans="1:124">
      <c r="A100" s="22" t="s">
        <v>399</v>
      </c>
      <c r="B100" s="25">
        <v>41335</v>
      </c>
      <c r="C100" s="23" t="s">
        <v>504</v>
      </c>
      <c r="D100" s="23" t="s">
        <v>505</v>
      </c>
      <c r="E100" s="24" t="s">
        <v>506</v>
      </c>
      <c r="F100" s="23" t="s">
        <v>11</v>
      </c>
      <c r="G100" s="44" t="s">
        <v>507</v>
      </c>
      <c r="H100" s="32" t="str">
        <f>RIGHT(Table1[[#This Row],[Location]],2)</f>
        <v>MT</v>
      </c>
      <c r="I100" s="25">
        <v>41286</v>
      </c>
      <c r="J100" s="25">
        <v>41316</v>
      </c>
      <c r="K100" s="37">
        <v>7710</v>
      </c>
      <c r="L100" s="37">
        <v>2000</v>
      </c>
      <c r="M100" s="43">
        <v>72</v>
      </c>
      <c r="N100" s="40">
        <v>679</v>
      </c>
      <c r="O100" s="26">
        <v>5</v>
      </c>
      <c r="P100" s="26">
        <v>10</v>
      </c>
      <c r="Q100" s="26">
        <v>15</v>
      </c>
      <c r="R100" s="27">
        <v>20</v>
      </c>
      <c r="S100" s="37">
        <v>50</v>
      </c>
      <c r="T100" s="37">
        <v>100</v>
      </c>
      <c r="U100" s="37">
        <v>200</v>
      </c>
      <c r="V100" s="37">
        <v>500</v>
      </c>
      <c r="W100" s="37">
        <v>1000</v>
      </c>
      <c r="X100" s="37"/>
      <c r="Y100" s="37"/>
      <c r="Z100" s="37"/>
      <c r="AA100" s="37"/>
      <c r="AB100" s="37"/>
      <c r="AC100" s="37"/>
      <c r="AD100" s="37"/>
      <c r="AE100" s="37"/>
      <c r="AF100" s="37"/>
      <c r="AG100" s="37"/>
      <c r="AH100" s="37"/>
      <c r="AI100" s="37"/>
      <c r="AJ100" s="37"/>
      <c r="AK100" s="37"/>
      <c r="AL100" s="37"/>
      <c r="AM100" s="37"/>
      <c r="AN100" s="37"/>
      <c r="AO100" s="37"/>
      <c r="AP100" s="37"/>
      <c r="AQ100" s="37"/>
      <c r="AR100" s="37"/>
      <c r="AS100" s="37"/>
      <c r="AT100" s="37"/>
      <c r="AU100" s="37"/>
      <c r="AV100" s="37"/>
      <c r="AW100" s="37"/>
      <c r="AX100" s="37"/>
      <c r="AY100" s="24">
        <v>7</v>
      </c>
      <c r="AZ100" s="24">
        <v>4</v>
      </c>
      <c r="BA100" s="24">
        <v>10</v>
      </c>
      <c r="BB100" s="28">
        <v>17</v>
      </c>
      <c r="BC100" s="23">
        <v>15</v>
      </c>
      <c r="BD100" s="23">
        <v>9</v>
      </c>
      <c r="BE100" s="23">
        <v>3</v>
      </c>
      <c r="BF100" s="23">
        <v>1</v>
      </c>
      <c r="BG100" s="23">
        <v>2</v>
      </c>
      <c r="BH100" s="23"/>
      <c r="BI100" s="23"/>
      <c r="BJ100" s="23"/>
      <c r="BK100" s="23"/>
      <c r="BL100" s="23"/>
      <c r="BM100" s="23"/>
      <c r="BN100" s="23"/>
      <c r="BO100" s="23"/>
      <c r="BP100" s="23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3"/>
      <c r="CH100" s="23"/>
      <c r="CI100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B - $1,000 to $9,999 Raised</v>
      </c>
      <c r="CJ100">
        <f>COUNTA(Table1[[#This Row],[Reward Level 1]:[Reward Level 36]])</f>
        <v>9</v>
      </c>
      <c r="CK100">
        <f>COUNTIF(Table1[[#This Row],[Backers Level 1]:[Backers Level 36]],"&gt;0")</f>
        <v>9</v>
      </c>
      <c r="CL100" s="49">
        <f>Table1[[#This Row],[Pledge]]/Table1[[#This Row],[Backers]]</f>
        <v>107.08333333333333</v>
      </c>
      <c r="CM100" s="32" t="str">
        <f>IF(Table1[[#This Row],[Pledge]]=Table1[[#This Row],[Pledge Count]],"OK!","N!")</f>
        <v>N!</v>
      </c>
      <c r="CN100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5315</v>
      </c>
      <c r="CO100" s="53">
        <f>Table1[[#This Row],[Pledge]]-Table1[[#This Row],[Pledge Count]]</f>
        <v>2395</v>
      </c>
      <c r="CP100" s="32" t="str">
        <f>IF(Table1[[#This Row],[Backers]]=Table1[[#This Row],[Backers Count]],"OK!","N!")</f>
        <v>N!</v>
      </c>
      <c r="CQ100" s="32">
        <f>SUM(Table1[[#This Row],[Backers Level 1]:[Backers Level 36]])</f>
        <v>68</v>
      </c>
      <c r="CR100" s="32">
        <f>Table1[[#This Row],[Backers]]-Table1[[#This Row],[Backers Count]]</f>
        <v>4</v>
      </c>
      <c r="CS100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7</v>
      </c>
      <c r="CT100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4</v>
      </c>
      <c r="CU100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27</v>
      </c>
      <c r="CV100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15</v>
      </c>
      <c r="CW100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9</v>
      </c>
      <c r="CX100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3</v>
      </c>
      <c r="CY100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100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2</v>
      </c>
      <c r="DA100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00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00"/>
      <c r="DE100"/>
      <c r="DG100"/>
      <c r="DI100"/>
      <c r="DK100"/>
      <c r="DM100"/>
      <c r="DO100"/>
      <c r="DQ100"/>
      <c r="DS100"/>
      <c r="DT100"/>
    </row>
    <row r="101" spans="1:124">
      <c r="A101" s="22" t="s">
        <v>400</v>
      </c>
      <c r="B101" s="25">
        <v>41335</v>
      </c>
      <c r="C101" s="23" t="s">
        <v>518</v>
      </c>
      <c r="D101" s="23" t="s">
        <v>519</v>
      </c>
      <c r="E101" s="24" t="s">
        <v>520</v>
      </c>
      <c r="F101" s="23" t="s">
        <v>190</v>
      </c>
      <c r="G101" s="44" t="s">
        <v>111</v>
      </c>
      <c r="H101" s="32" t="str">
        <f>RIGHT(Table1[[#This Row],[Location]],2)</f>
        <v>NY</v>
      </c>
      <c r="I101" s="25">
        <v>41256</v>
      </c>
      <c r="J101" s="25">
        <v>41316</v>
      </c>
      <c r="K101" s="37">
        <v>10647</v>
      </c>
      <c r="L101" s="37">
        <v>10000</v>
      </c>
      <c r="M101" s="43">
        <v>155</v>
      </c>
      <c r="N101" s="40">
        <v>221</v>
      </c>
      <c r="O101" s="26">
        <v>5</v>
      </c>
      <c r="P101" s="26">
        <v>10</v>
      </c>
      <c r="Q101" s="26">
        <v>25</v>
      </c>
      <c r="R101" s="27">
        <v>50</v>
      </c>
      <c r="S101" s="37">
        <v>75</v>
      </c>
      <c r="T101" s="37">
        <v>100</v>
      </c>
      <c r="U101" s="37">
        <v>250</v>
      </c>
      <c r="V101" s="37">
        <v>500</v>
      </c>
      <c r="W101" s="37">
        <v>750</v>
      </c>
      <c r="X101" s="37">
        <v>1000</v>
      </c>
      <c r="Y101" s="37">
        <v>2500</v>
      </c>
      <c r="Z101" s="37">
        <v>5000</v>
      </c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  <c r="AK101" s="37"/>
      <c r="AL101" s="37"/>
      <c r="AM101" s="37"/>
      <c r="AN101" s="37"/>
      <c r="AO101" s="37"/>
      <c r="AP101" s="37"/>
      <c r="AQ101" s="37"/>
      <c r="AR101" s="37"/>
      <c r="AS101" s="37"/>
      <c r="AT101" s="37"/>
      <c r="AU101" s="37"/>
      <c r="AV101" s="37"/>
      <c r="AW101" s="37"/>
      <c r="AX101" s="37"/>
      <c r="AY101" s="24">
        <v>0</v>
      </c>
      <c r="AZ101" s="24">
        <v>30</v>
      </c>
      <c r="BA101" s="24">
        <v>69</v>
      </c>
      <c r="BB101" s="28">
        <v>25</v>
      </c>
      <c r="BC101" s="23">
        <v>4</v>
      </c>
      <c r="BD101" s="23">
        <v>13</v>
      </c>
      <c r="BE101" s="23">
        <v>0</v>
      </c>
      <c r="BF101" s="23">
        <v>1</v>
      </c>
      <c r="BG101" s="23">
        <v>0</v>
      </c>
      <c r="BH101" s="23">
        <v>1</v>
      </c>
      <c r="BI101" s="23">
        <v>0</v>
      </c>
      <c r="BJ101" s="23">
        <v>0</v>
      </c>
      <c r="BK101" s="23"/>
      <c r="BL101" s="23"/>
      <c r="BM101" s="23"/>
      <c r="BN101" s="23"/>
      <c r="BO101" s="23"/>
      <c r="BP101" s="23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3"/>
      <c r="CH101" s="23"/>
      <c r="CI101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C - $10,000 to $19,999 Raised</v>
      </c>
      <c r="CJ101">
        <f>COUNTA(Table1[[#This Row],[Reward Level 1]:[Reward Level 36]])</f>
        <v>12</v>
      </c>
      <c r="CK101">
        <f>COUNTIF(Table1[[#This Row],[Backers Level 1]:[Backers Level 36]],"&gt;0")</f>
        <v>7</v>
      </c>
      <c r="CL101" s="49">
        <f>Table1[[#This Row],[Pledge]]/Table1[[#This Row],[Backers]]</f>
        <v>68.690322580645159</v>
      </c>
      <c r="CM101" s="32" t="str">
        <f>IF(Table1[[#This Row],[Pledge]]=Table1[[#This Row],[Pledge Count]],"OK!","N!")</f>
        <v>N!</v>
      </c>
      <c r="CN101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6375</v>
      </c>
      <c r="CO101" s="53">
        <f>Table1[[#This Row],[Pledge]]-Table1[[#This Row],[Pledge Count]]</f>
        <v>4272</v>
      </c>
      <c r="CP101" s="32" t="str">
        <f>IF(Table1[[#This Row],[Backers]]=Table1[[#This Row],[Backers Count]],"OK!","N!")</f>
        <v>N!</v>
      </c>
      <c r="CQ101" s="32">
        <f>SUM(Table1[[#This Row],[Backers Level 1]:[Backers Level 36]])</f>
        <v>143</v>
      </c>
      <c r="CR101" s="32">
        <f>Table1[[#This Row],[Backers]]-Table1[[#This Row],[Backers Count]]</f>
        <v>12</v>
      </c>
      <c r="CS101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0</v>
      </c>
      <c r="CT101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30</v>
      </c>
      <c r="CU101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69</v>
      </c>
      <c r="CV101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25</v>
      </c>
      <c r="CW101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17</v>
      </c>
      <c r="CX101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0</v>
      </c>
      <c r="CY101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1</v>
      </c>
      <c r="CZ101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</v>
      </c>
      <c r="DA101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01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0</v>
      </c>
      <c r="DC101"/>
      <c r="DE101"/>
      <c r="DG101"/>
      <c r="DI101"/>
      <c r="DK101"/>
      <c r="DM101"/>
      <c r="DO101"/>
      <c r="DQ101"/>
      <c r="DS101"/>
      <c r="DT101"/>
    </row>
    <row r="102" spans="1:124">
      <c r="A102" s="22" t="s">
        <v>508</v>
      </c>
      <c r="B102" s="25">
        <v>41335</v>
      </c>
      <c r="C102" s="23" t="s">
        <v>509</v>
      </c>
      <c r="D102" s="23" t="s">
        <v>510</v>
      </c>
      <c r="E102" s="24" t="s">
        <v>511</v>
      </c>
      <c r="F102" s="23" t="s">
        <v>11</v>
      </c>
      <c r="G102" s="44" t="s">
        <v>52</v>
      </c>
      <c r="H102" s="32" t="str">
        <f>RIGHT(Table1[[#This Row],[Location]],2)</f>
        <v>NY</v>
      </c>
      <c r="I102" s="25">
        <v>41623</v>
      </c>
      <c r="J102" s="25">
        <v>41305</v>
      </c>
      <c r="K102" s="37">
        <v>122555</v>
      </c>
      <c r="L102" s="37">
        <v>100000</v>
      </c>
      <c r="M102" s="43">
        <v>1938</v>
      </c>
      <c r="N102" s="40">
        <v>4799</v>
      </c>
      <c r="O102" s="26">
        <v>5</v>
      </c>
      <c r="P102" s="26">
        <v>25</v>
      </c>
      <c r="Q102" s="26">
        <v>50</v>
      </c>
      <c r="R102" s="27">
        <v>50</v>
      </c>
      <c r="S102" s="37">
        <v>100</v>
      </c>
      <c r="T102" s="37">
        <v>150</v>
      </c>
      <c r="U102" s="37">
        <v>150</v>
      </c>
      <c r="V102" s="37">
        <v>175</v>
      </c>
      <c r="W102" s="37">
        <v>175</v>
      </c>
      <c r="X102" s="37">
        <v>175</v>
      </c>
      <c r="Y102" s="37">
        <v>250</v>
      </c>
      <c r="Z102" s="37">
        <v>250</v>
      </c>
      <c r="AA102" s="37">
        <v>350</v>
      </c>
      <c r="AB102" s="37">
        <v>500</v>
      </c>
      <c r="AC102" s="37">
        <v>1000</v>
      </c>
      <c r="AD102" s="37">
        <v>5000</v>
      </c>
      <c r="AE102" s="37">
        <v>7500</v>
      </c>
      <c r="AF102" s="37">
        <v>10000</v>
      </c>
      <c r="AG102" s="37"/>
      <c r="AH102" s="37"/>
      <c r="AI102" s="37"/>
      <c r="AJ102" s="37"/>
      <c r="AK102" s="37"/>
      <c r="AL102" s="37"/>
      <c r="AM102" s="37"/>
      <c r="AN102" s="37"/>
      <c r="AO102" s="37"/>
      <c r="AP102" s="37"/>
      <c r="AQ102" s="37"/>
      <c r="AR102" s="37"/>
      <c r="AS102" s="37"/>
      <c r="AT102" s="37"/>
      <c r="AU102" s="37"/>
      <c r="AV102" s="37"/>
      <c r="AW102" s="37"/>
      <c r="AX102" s="37"/>
      <c r="AY102" s="24">
        <v>568</v>
      </c>
      <c r="AZ102" s="24">
        <v>416</v>
      </c>
      <c r="BA102" s="24">
        <v>329</v>
      </c>
      <c r="BB102" s="28">
        <v>184</v>
      </c>
      <c r="BC102" s="23">
        <v>127</v>
      </c>
      <c r="BD102" s="23">
        <v>27</v>
      </c>
      <c r="BE102" s="23">
        <v>13</v>
      </c>
      <c r="BF102" s="23">
        <v>4</v>
      </c>
      <c r="BG102" s="23">
        <v>4</v>
      </c>
      <c r="BH102" s="23">
        <v>3</v>
      </c>
      <c r="BI102" s="23">
        <v>75</v>
      </c>
      <c r="BJ102" s="23">
        <v>18</v>
      </c>
      <c r="BK102" s="23">
        <v>5</v>
      </c>
      <c r="BL102" s="23">
        <v>4</v>
      </c>
      <c r="BM102" s="23">
        <v>6</v>
      </c>
      <c r="BN102" s="23">
        <v>3</v>
      </c>
      <c r="BO102" s="23">
        <v>0</v>
      </c>
      <c r="BP102" s="23">
        <v>1</v>
      </c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3"/>
      <c r="CH102" s="23"/>
      <c r="CI102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E - $100K  to $999,999 Raised</v>
      </c>
      <c r="CJ102">
        <f>COUNTA(Table1[[#This Row],[Reward Level 1]:[Reward Level 36]])</f>
        <v>18</v>
      </c>
      <c r="CK102">
        <f>COUNTIF(Table1[[#This Row],[Backers Level 1]:[Backers Level 36]],"&gt;0")</f>
        <v>17</v>
      </c>
      <c r="CL102" s="49">
        <f>Table1[[#This Row],[Pledge]]/Table1[[#This Row],[Backers]]</f>
        <v>63.237874097007222</v>
      </c>
      <c r="CM102" s="32" t="str">
        <f>IF(Table1[[#This Row],[Pledge]]=Table1[[#This Row],[Pledge Count]],"OK!","N!")</f>
        <v>N!</v>
      </c>
      <c r="CN102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82765</v>
      </c>
      <c r="CO102" s="53">
        <f>Table1[[#This Row],[Pledge]]-Table1[[#This Row],[Pledge Count]]</f>
        <v>39790</v>
      </c>
      <c r="CP102" s="32" t="str">
        <f>IF(Table1[[#This Row],[Backers]]=Table1[[#This Row],[Backers Count]],"OK!","N!")</f>
        <v>N!</v>
      </c>
      <c r="CQ102" s="32">
        <f>SUM(Table1[[#This Row],[Backers Level 1]:[Backers Level 36]])</f>
        <v>1787</v>
      </c>
      <c r="CR102" s="32">
        <f>Table1[[#This Row],[Backers]]-Table1[[#This Row],[Backers Count]]</f>
        <v>151</v>
      </c>
      <c r="CS102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568</v>
      </c>
      <c r="CT102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02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416</v>
      </c>
      <c r="CV102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513</v>
      </c>
      <c r="CW102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127</v>
      </c>
      <c r="CX102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144</v>
      </c>
      <c r="CY102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9</v>
      </c>
      <c r="CZ102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6</v>
      </c>
      <c r="DA102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02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4</v>
      </c>
      <c r="DC102"/>
      <c r="DE102"/>
      <c r="DG102"/>
      <c r="DI102"/>
      <c r="DK102"/>
      <c r="DM102"/>
      <c r="DO102"/>
      <c r="DQ102"/>
      <c r="DS102"/>
      <c r="DT102"/>
    </row>
    <row r="103" spans="1:124">
      <c r="A103" s="22" t="s">
        <v>608</v>
      </c>
      <c r="B103" s="25">
        <v>41335</v>
      </c>
      <c r="C103" s="23" t="s">
        <v>512</v>
      </c>
      <c r="D103" s="23" t="s">
        <v>513</v>
      </c>
      <c r="E103" s="24" t="s">
        <v>514</v>
      </c>
      <c r="F103" s="23" t="s">
        <v>11</v>
      </c>
      <c r="G103" s="44" t="s">
        <v>468</v>
      </c>
      <c r="H103" s="32" t="str">
        <f>RIGHT(Table1[[#This Row],[Location]],2)</f>
        <v>MA</v>
      </c>
      <c r="I103" s="25">
        <v>41029</v>
      </c>
      <c r="J103" s="25">
        <v>41060</v>
      </c>
      <c r="K103" s="37">
        <v>1192793</v>
      </c>
      <c r="L103" s="37">
        <v>100000</v>
      </c>
      <c r="M103" s="43">
        <v>24883</v>
      </c>
      <c r="N103" s="40">
        <v>4625</v>
      </c>
      <c r="O103" s="26">
        <v>1</v>
      </c>
      <c r="P103" s="26">
        <v>5</v>
      </c>
      <c r="Q103" s="26">
        <v>25</v>
      </c>
      <c r="R103" s="27">
        <v>50</v>
      </c>
      <c r="S103" s="37">
        <v>100</v>
      </c>
      <c r="T103" s="37">
        <v>125</v>
      </c>
      <c r="U103" s="37">
        <v>250</v>
      </c>
      <c r="V103" s="37">
        <v>250</v>
      </c>
      <c r="W103" s="37">
        <v>300</v>
      </c>
      <c r="X103" s="37">
        <v>300</v>
      </c>
      <c r="Y103" s="37">
        <v>300</v>
      </c>
      <c r="Z103" s="37">
        <v>300</v>
      </c>
      <c r="AA103" s="37">
        <v>300</v>
      </c>
      <c r="AB103" s="37">
        <v>300</v>
      </c>
      <c r="AC103" s="37">
        <v>300</v>
      </c>
      <c r="AD103" s="37">
        <v>300</v>
      </c>
      <c r="AE103" s="37">
        <v>500</v>
      </c>
      <c r="AF103" s="37">
        <v>500</v>
      </c>
      <c r="AG103" s="37">
        <v>1000</v>
      </c>
      <c r="AH103" s="37">
        <v>1000</v>
      </c>
      <c r="AI103" s="37">
        <v>1000</v>
      </c>
      <c r="AJ103" s="37">
        <v>5000</v>
      </c>
      <c r="AK103" s="37">
        <v>10000</v>
      </c>
      <c r="AL103" s="37">
        <v>10000</v>
      </c>
      <c r="AM103" s="37"/>
      <c r="AN103" s="37"/>
      <c r="AO103" s="37"/>
      <c r="AP103" s="37"/>
      <c r="AQ103" s="37"/>
      <c r="AR103" s="37"/>
      <c r="AS103" s="37"/>
      <c r="AT103" s="37"/>
      <c r="AU103" s="37"/>
      <c r="AV103" s="37"/>
      <c r="AW103" s="37"/>
      <c r="AX103" s="37"/>
      <c r="AY103" s="24">
        <v>4744</v>
      </c>
      <c r="AZ103" s="24">
        <v>6536</v>
      </c>
      <c r="BA103" s="24">
        <v>9333</v>
      </c>
      <c r="BB103" s="28">
        <v>1347</v>
      </c>
      <c r="BC103" s="23">
        <v>488</v>
      </c>
      <c r="BD103" s="23">
        <v>1603</v>
      </c>
      <c r="BE103" s="23">
        <v>5</v>
      </c>
      <c r="BF103" s="23">
        <v>65</v>
      </c>
      <c r="BG103" s="23">
        <v>298</v>
      </c>
      <c r="BH103" s="23">
        <v>50</v>
      </c>
      <c r="BI103" s="23">
        <v>88</v>
      </c>
      <c r="BJ103" s="23">
        <v>74</v>
      </c>
      <c r="BK103" s="23">
        <v>83</v>
      </c>
      <c r="BL103" s="23">
        <v>46</v>
      </c>
      <c r="BM103" s="23">
        <v>50</v>
      </c>
      <c r="BN103" s="23">
        <v>6</v>
      </c>
      <c r="BO103" s="23">
        <v>38</v>
      </c>
      <c r="BP103" s="23">
        <v>6</v>
      </c>
      <c r="BQ103" s="23">
        <v>4</v>
      </c>
      <c r="BR103" s="23">
        <v>28</v>
      </c>
      <c r="BS103" s="23">
        <v>72</v>
      </c>
      <c r="BT103" s="23">
        <v>34</v>
      </c>
      <c r="BU103" s="23">
        <v>2</v>
      </c>
      <c r="BV103" s="23">
        <v>0</v>
      </c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3"/>
      <c r="CH103" s="23"/>
      <c r="CI103" s="33" t="str">
        <f>IF(Table1[[#This Row],[Pledge]]="","",IF(Table1[[#This Row],[Pledge]]&lt;Info!$D$6,Info!$C$5,IF(Table1[[#This Row],[Pledge]]&lt;Info!$E$6,Info!$D$5,IF(Table1[[#This Row],[Pledge]]&lt;Info!$F$6,Info!$E$5,IF(Table1[[#This Row],[Pledge]]&lt;Info!$G$6,Info!$F$5,IF(Table1[[#This Row],[Pledge]]&lt;Info!$H$6,Info!$G$5,Info!$H$5))))))</f>
        <v>F - $1M Raised</v>
      </c>
      <c r="CJ103">
        <f>COUNTA(Table1[[#This Row],[Reward Level 1]:[Reward Level 36]])</f>
        <v>24</v>
      </c>
      <c r="CK103">
        <f>COUNTIF(Table1[[#This Row],[Backers Level 1]:[Backers Level 36]],"&gt;0")</f>
        <v>23</v>
      </c>
      <c r="CL103" s="49">
        <f>Table1[[#This Row],[Pledge]]/Table1[[#This Row],[Backers]]</f>
        <v>47.936060764377288</v>
      </c>
      <c r="CM103" s="32" t="str">
        <f>IF(Table1[[#This Row],[Pledge]]=Table1[[#This Row],[Pledge Count]],"OK!","N!")</f>
        <v>N!</v>
      </c>
      <c r="CN103" s="37">
        <f>Table1[[#This Row],[Reward Level 1]]*Table1[[#This Row],[Backers Level 1]]+Table1[[#This Row],[Reward Level 2]]*Table1[[#This Row],[Backers Level 2]]+Table1[[#This Row],[Reward Level 3]]*Table1[[#This Row],[Backers Level 3]]+Table1[[#This Row],[Reward Level 4]]*Table1[[#This Row],[Backers Level 4]]+Table1[[#This Row],[Reward Level 5]]*Table1[[#This Row],[Backers Level 5]]+Table1[[#This Row],[Reward Level 6]]*Table1[[#This Row],[Backers Level 6]]+Table1[[#This Row],[Reward Level 7]]*Table1[[#This Row],[Backers Level 7]]+Table1[[#This Row],[Reward Level 8]]*Table1[[#This Row],[Backers Level 8]]+Table1[[#This Row],[Reward Level 9]]*Table1[[#This Row],[Backers Level 9]]+Table1[[#This Row],[Reward Level 10]]*Table1[[#This Row],[Backers Level 10]]+Table1[[#This Row],[Reward Level 11]]*Table1[[#This Row],[Backers Level 11]]+Table1[[#This Row],[Reward Level 12]]*Table1[[#This Row],[Backers Level 12]]</f>
        <v>757774</v>
      </c>
      <c r="CO103" s="53">
        <f>Table1[[#This Row],[Pledge]]-Table1[[#This Row],[Pledge Count]]</f>
        <v>435019</v>
      </c>
      <c r="CP103" s="32" t="str">
        <f>IF(Table1[[#This Row],[Backers]]=Table1[[#This Row],[Backers Count]],"OK!","N!")</f>
        <v>N!</v>
      </c>
      <c r="CQ103" s="32">
        <f>SUM(Table1[[#This Row],[Backers Level 1]:[Backers Level 36]])</f>
        <v>25000</v>
      </c>
      <c r="CR103" s="32">
        <f>Table1[[#This Row],[Backers]]-Table1[[#This Row],[Backers Count]]</f>
        <v>-117</v>
      </c>
      <c r="CS103" s="70">
        <f>(IF(AND(Table1[[#This Row],[Reward Level 1]]&gt;0,Table1[[#This Row],[Reward Level 1]]&lt;=5),Table1[[#This Row],[Backers Level 1]],0)
+IF(AND(Table1[[#This Row],[Reward Level 2]]&gt;0,Table1[[#This Row],[Reward Level 2]]&lt;=5),Table1[[#This Row],[Backers Level 2]],0)
+IF(AND(Table1[[#This Row],[Reward Level 3]]&gt;0,Table1[[#This Row],[Reward Level 3]]&lt;=5),Table1[[#This Row],[Backers Level 3]],0)
+IF(AND(Table1[[#This Row],[Reward Level 4]]&gt;0,Table1[[#This Row],[Reward Level 4]]&lt;=5),Table1[[#This Row],[Backers Level 4]],0)
+IF(AND(Table1[[#This Row],[Reward Level 5]]&gt;0,Table1[[#This Row],[Reward Level 5]]&lt;=5),Table1[[#This Row],[Backers Level 5]],0)
+IF(AND(Table1[[#This Row],[Reward Level 6]]&gt;0,Table1[[#This Row],[Reward Level 6]]&lt;=5),Table1[[#This Row],[Backers Level 6]],0)
+IF(AND(Table1[[#This Row],[Reward Level 7]]&gt;0,Table1[[#This Row],[Reward Level 7]]&lt;=5),Table1[[#This Row],[Backers Level 7]],0)
+IF(AND(Table1[[#This Row],[Reward Level 8]]&gt;0,Table1[[#This Row],[Reward Level 8]]&lt;=5),Table1[[#This Row],[Backers Level 8]],0)
+IF(AND(Table1[[#This Row],[Reward Level 9]]&gt;0,Table1[[#This Row],[Reward Level 9]]&lt;=5),Table1[[#This Row],[Backers Level 9]],0)
+IF(AND(Table1[[#This Row],[Reward Level 10]]&gt;0,Table1[[#This Row],[Reward Level 10]]&lt;=5),Table1[[#This Row],[Backers Level 10]],0)
+IF(AND(Table1[[#This Row],[Reward Level 11]]&gt;0,Table1[[#This Row],[Reward Level 11]]&lt;=5),Table1[[#This Row],[Backers Level 11]],0)
+IF(AND(Table1[[#This Row],[Reward Level 12]]&gt;0,Table1[[#This Row],[Reward Level 12]]&lt;=5),Table1[[#This Row],[Backers Level 12]],0)
+IF(AND(Table1[[#This Row],[Reward Level 13]]&gt;0,Table1[[#This Row],[Reward Level 13]]&lt;=5),Table1[[#This Row],[Backers Level 13]],0)
+IF(AND(Table1[[#This Row],[Reward Level 14]]&gt;0,Table1[[#This Row],[Reward Level 14]]&lt;=5),Table1[[#This Row],[Backers Level 14]],0)
+IF(AND(Table1[[#This Row],[Reward Level 15]]&gt;0,Table1[[#This Row],[Reward Level 15]]&lt;=5),Table1[[#This Row],[Backers Level 15]],0)
+IF(AND(Table1[[#This Row],[Reward Level 16]]&gt;0,Table1[[#This Row],[Reward Level 16]]&lt;=5),Table1[[#This Row],[Backers Level 16]],0)
+IF(AND(Table1[[#This Row],[Reward Level 17]]&gt;0,Table1[[#This Row],[Reward Level 17]]&lt;=5),Table1[[#This Row],[Backers Level 17]],0)
+IF(AND(Table1[[#This Row],[Reward Level 18]]&gt;0,Table1[[#This Row],[Reward Level 18]]&lt;=5),Table1[[#This Row],[Backers Level 18]],0)
+IF(AND(Table1[[#This Row],[Reward Level 19]]&gt;0,Table1[[#This Row],[Reward Level 19]]&lt;=5),Table1[[#This Row],[Backers Level 19]],0)
+IF(AND(Table1[[#This Row],[Reward Level 20]]&gt;0,Table1[[#This Row],[Reward Level 20]]&lt;=5),Table1[[#This Row],[Backers Level 20]],0)
+IF(AND(Table1[[#This Row],[Reward Level 21]]&gt;0,Table1[[#This Row],[Reward Level 21]]&lt;=5),Table1[[#This Row],[Backers Level 21]],0)
+IF(AND(Table1[[#This Row],[Reward Level 22]]&gt;0,Table1[[#This Row],[Reward Level 22]]&lt;=5),Table1[[#This Row],[Backers Level 22]],0)
+IF(AND(Table1[[#This Row],[Reward Level 23]]&gt;0,Table1[[#This Row],[Reward Level 23]]&lt;=5),Table1[[#This Row],[Backers Level 23]],0)
+IF(AND(Table1[[#This Row],[Reward Level 24]]&gt;0,Table1[[#This Row],[Reward Level 24]]&lt;=5),Table1[[#This Row],[Backers Level 24]],0)
+IF(AND(Table1[[#This Row],[Reward Level 25]]&gt;0,Table1[[#This Row],[Reward Level 25]]&lt;=5),Table1[[#This Row],[Backers Level 25]],0)
+IF(AND(Table1[[#This Row],[Reward Level 26]]&gt;0,Table1[[#This Row],[Reward Level 26]]&lt;=5),Table1[[#This Row],[Backers Level 26]],0)
+IF(AND(Table1[[#This Row],[Reward Level 27]]&gt;0,Table1[[#This Row],[Reward Level 27]]&lt;=5),Table1[[#This Row],[Backers Level 27]],0)
+IF(AND(Table1[[#This Row],[Reward Level 28]]&gt;0,Table1[[#This Row],[Reward Level 28]]&lt;=5),Table1[[#This Row],[Backers Level 28]],0)
+IF(AND(Table1[[#This Row],[Reward Level 29]]&gt;0,Table1[[#This Row],[Reward Level 29]]&lt;=5),Table1[[#This Row],[Backers Level 29]],0)
+IF(AND(Table1[[#This Row],[Reward Level 30]]&gt;0,Table1[[#This Row],[Reward Level 30]]&lt;=5),Table1[[#This Row],[Backers Level 30]],0)
+IF(AND(Table1[[#This Row],[Reward Level 31]]&gt;0,Table1[[#This Row],[Reward Level 31]]&lt;=5),Table1[[#This Row],[Backers Level 31]],0)
+IF(AND(Table1[[#This Row],[Reward Level 32]]&gt;0,Table1[[#This Row],[Reward Level 32]]&lt;=5),Table1[[#This Row],[Backers Level 32]],0)
+IF(AND(Table1[[#This Row],[Reward Level 33]]&gt;0,Table1[[#This Row],[Reward Level 33]]&lt;=5),Table1[[#This Row],[Backers Level 33]],0)
+IF(AND(Table1[[#This Row],[Reward Level 34]]&gt;0,Table1[[#This Row],[Reward Level 34]]&lt;=5),Table1[[#This Row],[Backers Level 34]],0)
+IF(AND(Table1[[#This Row],[Reward Level 35]]&gt;0,Table1[[#This Row],[Reward Level 35]]&lt;=5),Table1[[#This Row],[Backers Level 35]],0)
+IF(AND(Table1[[#This Row],[Reward Level 36]]&gt;0,Table1[[#This Row],[Reward Level 36]]&lt;=5),Table1[[#This Row],[Backers Level 36]],0))</f>
        <v>11280</v>
      </c>
      <c r="CT103" s="69">
        <f>(IF(AND(Table1[[#This Row],[Reward Level 1]]&gt;5,Table1[[#This Row],[Reward Level 1]]&lt;=10),Table1[[#This Row],[Backers Level 1]],0)
+IF(AND(Table1[[#This Row],[Reward Level 2]]&gt;5,Table1[[#This Row],[Reward Level 2]]&lt;=10),Table1[[#This Row],[Backers Level 2]],0)
+IF(AND(Table1[[#This Row],[Reward Level 3]]&gt;5,Table1[[#This Row],[Reward Level 3]]&lt;=10),Table1[[#This Row],[Backers Level 3]],0)
+IF(AND(Table1[[#This Row],[Reward Level 4]]&gt;5,Table1[[#This Row],[Reward Level 4]]&lt;=10),Table1[[#This Row],[Backers Level 4]],0)
+IF(AND(Table1[[#This Row],[Reward Level 5]]&gt;5,Table1[[#This Row],[Reward Level 5]]&lt;=10),Table1[[#This Row],[Backers Level 5]],0)
+IF(AND(Table1[[#This Row],[Reward Level 6]]&gt;5,Table1[[#This Row],[Reward Level 6]]&lt;=10),Table1[[#This Row],[Backers Level 6]],0)
+IF(AND(Table1[[#This Row],[Reward Level 7]]&gt;5,Table1[[#This Row],[Reward Level 7]]&lt;=10),Table1[[#This Row],[Backers Level 7]],0)
+IF(AND(Table1[[#This Row],[Reward Level 8]]&gt;5,Table1[[#This Row],[Reward Level 8]]&lt;=10),Table1[[#This Row],[Backers Level 8]],0)
+IF(AND(Table1[[#This Row],[Reward Level 9]]&gt;5,Table1[[#This Row],[Reward Level 9]]&lt;=10),Table1[[#This Row],[Backers Level 9]],0)
+IF(AND(Table1[[#This Row],[Reward Level 10]]&gt;5,Table1[[#This Row],[Reward Level 10]]&lt;=10),Table1[[#This Row],[Backers Level 10]],0)
+IF(AND(Table1[[#This Row],[Reward Level 11]]&gt;5,Table1[[#This Row],[Reward Level 11]]&lt;=10),Table1[[#This Row],[Backers Level 11]],0)
+IF(AND(Table1[[#This Row],[Reward Level 12]]&gt;5,Table1[[#This Row],[Reward Level 12]]&lt;=10),Table1[[#This Row],[Backers Level 12]],0)
+IF(AND(Table1[[#This Row],[Reward Level 13]]&gt;5,Table1[[#This Row],[Reward Level 13]]&lt;=10),Table1[[#This Row],[Backers Level 13]],0)
+IF(AND(Table1[[#This Row],[Reward Level 14]]&gt;5,Table1[[#This Row],[Reward Level 14]]&lt;=10),Table1[[#This Row],[Backers Level 14]],0)
+IF(AND(Table1[[#This Row],[Reward Level 15]]&gt;5,Table1[[#This Row],[Reward Level 15]]&lt;=10),Table1[[#This Row],[Backers Level 15]],0)
+IF(AND(Table1[[#This Row],[Reward Level 16]]&gt;5,Table1[[#This Row],[Reward Level 16]]&lt;=10),Table1[[#This Row],[Backers Level 16]],0)
+IF(AND(Table1[[#This Row],[Reward Level 17]]&gt;5,Table1[[#This Row],[Reward Level 17]]&lt;=10),Table1[[#This Row],[Backers Level 17]],0)
+IF(AND(Table1[[#This Row],[Reward Level 18]]&gt;5,Table1[[#This Row],[Reward Level 18]]&lt;=10),Table1[[#This Row],[Backers Level 18]],0)
+IF(AND(Table1[[#This Row],[Reward Level 19]]&gt;5,Table1[[#This Row],[Reward Level 19]]&lt;=10),Table1[[#This Row],[Backers Level 19]],0)
+IF(AND(Table1[[#This Row],[Reward Level 20]]&gt;5,Table1[[#This Row],[Reward Level 20]]&lt;=10),Table1[[#This Row],[Backers Level 20]],0)
+IF(AND(Table1[[#This Row],[Reward Level 21]]&gt;5,Table1[[#This Row],[Reward Level 21]]&lt;=10),Table1[[#This Row],[Backers Level 21]],0)
+IF(AND(Table1[[#This Row],[Reward Level 22]]&gt;5,Table1[[#This Row],[Reward Level 22]]&lt;=10),Table1[[#This Row],[Backers Level 22]],0)
+IF(AND(Table1[[#This Row],[Reward Level 23]]&gt;5,Table1[[#This Row],[Reward Level 23]]&lt;=10),Table1[[#This Row],[Backers Level 23]],0)
+IF(AND(Table1[[#This Row],[Reward Level 24]]&gt;5,Table1[[#This Row],[Reward Level 24]]&lt;=10),Table1[[#This Row],[Backers Level 24]],0)
+IF(AND(Table1[[#This Row],[Reward Level 25]]&gt;5,Table1[[#This Row],[Reward Level 25]]&lt;=10),Table1[[#This Row],[Backers Level 25]],0)
+IF(AND(Table1[[#This Row],[Reward Level 26]]&gt;5,Table1[[#This Row],[Reward Level 26]]&lt;=10),Table1[[#This Row],[Backers Level 26]],0)
+IF(AND(Table1[[#This Row],[Reward Level 27]]&gt;5,Table1[[#This Row],[Reward Level 27]]&lt;=10),Table1[[#This Row],[Backers Level 27]],0)
+IF(AND(Table1[[#This Row],[Reward Level 28]]&gt;5,Table1[[#This Row],[Reward Level 28]]&lt;=10),Table1[[#This Row],[Backers Level 28]],0)
+IF(AND(Table1[[#This Row],[Reward Level 29]]&gt;5,Table1[[#This Row],[Reward Level 29]]&lt;=10),Table1[[#This Row],[Backers Level 29]],0)
+IF(AND(Table1[[#This Row],[Reward Level 30]]&gt;5,Table1[[#This Row],[Reward Level 30]]&lt;=10),Table1[[#This Row],[Backers Level 30]],0)
+IF(AND(Table1[[#This Row],[Reward Level 31]]&gt;5,Table1[[#This Row],[Reward Level 31]]&lt;=10),Table1[[#This Row],[Backers Level 31]],0)
+IF(AND(Table1[[#This Row],[Reward Level 32]]&gt;5,Table1[[#This Row],[Reward Level 32]]&lt;=10),Table1[[#This Row],[Backers Level 32]],0)
+IF(AND(Table1[[#This Row],[Reward Level 33]]&gt;5,Table1[[#This Row],[Reward Level 33]]&lt;=10),Table1[[#This Row],[Backers Level 33]],0)
+IF(AND(Table1[[#This Row],[Reward Level 34]]&gt;5,Table1[[#This Row],[Reward Level 34]]&lt;=10),Table1[[#This Row],[Backers Level 34]],0)
+IF(AND(Table1[[#This Row],[Reward Level 35]]&gt;5,Table1[[#This Row],[Reward Level 35]]&lt;=10),Table1[[#This Row],[Backers Level 35]],0)
+IF(AND(Table1[[#This Row],[Reward Level 36]]&gt;5,Table1[[#This Row],[Reward Level 36]]&lt;=10),Table1[[#This Row],[Backers Level 36]],0))</f>
        <v>0</v>
      </c>
      <c r="CU103" s="69">
        <f>(IF(AND(Table1[[#This Row],[Reward Level 1]]&gt;10,Table1[[#This Row],[Reward Level 1]]&lt;=25),Table1[[#This Row],[Backers Level 1]],0)
+IF(AND(Table1[[#This Row],[Reward Level 2]]&gt;10,Table1[[#This Row],[Reward Level 2]]&lt;=25),Table1[[#This Row],[Backers Level 2]],0)
+IF(AND(Table1[[#This Row],[Reward Level 3]]&gt;10,Table1[[#This Row],[Reward Level 3]]&lt;=25),Table1[[#This Row],[Backers Level 3]],0)
+IF(AND(Table1[[#This Row],[Reward Level 4]]&gt;10,Table1[[#This Row],[Reward Level 4]]&lt;=25),Table1[[#This Row],[Backers Level 4]],0)
+IF(AND(Table1[[#This Row],[Reward Level 5]]&gt;10,Table1[[#This Row],[Reward Level 5]]&lt;=25),Table1[[#This Row],[Backers Level 5]],0)
+IF(AND(Table1[[#This Row],[Reward Level 6]]&gt;10,Table1[[#This Row],[Reward Level 6]]&lt;=25),Table1[[#This Row],[Backers Level 6]],0)
+IF(AND(Table1[[#This Row],[Reward Level 7]]&gt;10,Table1[[#This Row],[Reward Level 7]]&lt;=25),Table1[[#This Row],[Backers Level 7]],0)
+IF(AND(Table1[[#This Row],[Reward Level 8]]&gt;10,Table1[[#This Row],[Reward Level 8]]&lt;=25),Table1[[#This Row],[Backers Level 8]],0)
+IF(AND(Table1[[#This Row],[Reward Level 9]]&gt;10,Table1[[#This Row],[Reward Level 9]]&lt;=25),Table1[[#This Row],[Backers Level 9]],0)
+IF(AND(Table1[[#This Row],[Reward Level 10]]&gt;10,Table1[[#This Row],[Reward Level 10]]&lt;=25),Table1[[#This Row],[Backers Level 10]],0)
+IF(AND(Table1[[#This Row],[Reward Level 11]]&gt;10,Table1[[#This Row],[Reward Level 11]]&lt;=25),Table1[[#This Row],[Backers Level 11]],0)
+IF(AND(Table1[[#This Row],[Reward Level 12]]&gt;10,Table1[[#This Row],[Reward Level 12]]&lt;=25),Table1[[#This Row],[Backers Level 12]],0)
+IF(AND(Table1[[#This Row],[Reward Level 13]]&gt;10,Table1[[#This Row],[Reward Level 13]]&lt;=25),Table1[[#This Row],[Backers Level 13]],0)
+IF(AND(Table1[[#This Row],[Reward Level 14]]&gt;10,Table1[[#This Row],[Reward Level 14]]&lt;=25),Table1[[#This Row],[Backers Level 14]],0)
+IF(AND(Table1[[#This Row],[Reward Level 15]]&gt;10,Table1[[#This Row],[Reward Level 15]]&lt;=25),Table1[[#This Row],[Backers Level 15]],0)
+IF(AND(Table1[[#This Row],[Reward Level 16]]&gt;10,Table1[[#This Row],[Reward Level 16]]&lt;=25),Table1[[#This Row],[Backers Level 16]],0)
+IF(AND(Table1[[#This Row],[Reward Level 17]]&gt;10,Table1[[#This Row],[Reward Level 17]]&lt;=25),Table1[[#This Row],[Backers Level 17]],0)
+IF(AND(Table1[[#This Row],[Reward Level 18]]&gt;10,Table1[[#This Row],[Reward Level 18]]&lt;=25),Table1[[#This Row],[Backers Level 18]],0)
+IF(AND(Table1[[#This Row],[Reward Level 19]]&gt;10,Table1[[#This Row],[Reward Level 19]]&lt;=25),Table1[[#This Row],[Backers Level 19]],0)
+IF(AND(Table1[[#This Row],[Reward Level 20]]&gt;10,Table1[[#This Row],[Reward Level 20]]&lt;=25),Table1[[#This Row],[Backers Level 20]],0)
+IF(AND(Table1[[#This Row],[Reward Level 21]]&gt;10,Table1[[#This Row],[Reward Level 21]]&lt;=25),Table1[[#This Row],[Backers Level 21]],0)
+IF(AND(Table1[[#This Row],[Reward Level 22]]&gt;10,Table1[[#This Row],[Reward Level 22]]&lt;=25),Table1[[#This Row],[Backers Level 22]],0)
+IF(AND(Table1[[#This Row],[Reward Level 23]]&gt;10,Table1[[#This Row],[Reward Level 23]]&lt;=25),Table1[[#This Row],[Backers Level 23]],0)
+IF(AND(Table1[[#This Row],[Reward Level 24]]&gt;10,Table1[[#This Row],[Reward Level 24]]&lt;=25),Table1[[#This Row],[Backers Level 24]],0)
+IF(AND(Table1[[#This Row],[Reward Level 25]]&gt;10,Table1[[#This Row],[Reward Level 25]]&lt;=25),Table1[[#This Row],[Backers Level 25]],0)
+IF(AND(Table1[[#This Row],[Reward Level 26]]&gt;10,Table1[[#This Row],[Reward Level 26]]&lt;=25),Table1[[#This Row],[Backers Level 26]],0)
+IF(AND(Table1[[#This Row],[Reward Level 27]]&gt;10,Table1[[#This Row],[Reward Level 27]]&lt;=25),Table1[[#This Row],[Backers Level 27]],0)
+IF(AND(Table1[[#This Row],[Reward Level 28]]&gt;10,Table1[[#This Row],[Reward Level 28]]&lt;=25),Table1[[#This Row],[Backers Level 28]],0)
+IF(AND(Table1[[#This Row],[Reward Level 29]]&gt;10,Table1[[#This Row],[Reward Level 29]]&lt;=25),Table1[[#This Row],[Backers Level 29]],0)
+IF(AND(Table1[[#This Row],[Reward Level 30]]&gt;10,Table1[[#This Row],[Reward Level 30]]&lt;=25),Table1[[#This Row],[Backers Level 30]],0)
+IF(AND(Table1[[#This Row],[Reward Level 31]]&gt;10,Table1[[#This Row],[Reward Level 31]]&lt;=25),Table1[[#This Row],[Backers Level 31]],0)
+IF(AND(Table1[[#This Row],[Reward Level 32]]&gt;10,Table1[[#This Row],[Reward Level 32]]&lt;=25),Table1[[#This Row],[Backers Level 32]],0)
+IF(AND(Table1[[#This Row],[Reward Level 33]]&gt;10,Table1[[#This Row],[Reward Level 33]]&lt;=25),Table1[[#This Row],[Backers Level 33]],0)
+IF(AND(Table1[[#This Row],[Reward Level 34]]&gt;10,Table1[[#This Row],[Reward Level 34]]&lt;=25),Table1[[#This Row],[Backers Level 34]],0)
+IF(AND(Table1[[#This Row],[Reward Level 35]]&gt;10,Table1[[#This Row],[Reward Level 35]]&lt;=25),Table1[[#This Row],[Backers Level 35]],0)
+IF(AND(Table1[[#This Row],[Reward Level 36]]&gt;10,Table1[[#This Row],[Reward Level 36]]&lt;=25),Table1[[#This Row],[Backers Level 36]],0))</f>
        <v>9333</v>
      </c>
      <c r="CV103" s="69">
        <f>(IF(AND(Table1[[#This Row],[Reward Level 1]]&gt;25,Table1[[#This Row],[Reward Level 1]]&lt;=50),Table1[[#This Row],[Backers Level 1]],0)
+IF(AND(Table1[[#This Row],[Reward Level 2]]&gt;25,Table1[[#This Row],[Reward Level 2]]&lt;=50),Table1[[#This Row],[Backers Level 2]],0)
+IF(AND(Table1[[#This Row],[Reward Level 3]]&gt;25,Table1[[#This Row],[Reward Level 3]]&lt;=50),Table1[[#This Row],[Backers Level 3]],0)
+IF(AND(Table1[[#This Row],[Reward Level 4]]&gt;25,Table1[[#This Row],[Reward Level 4]]&lt;=50),Table1[[#This Row],[Backers Level 4]],0)
+IF(AND(Table1[[#This Row],[Reward Level 5]]&gt;25,Table1[[#This Row],[Reward Level 5]]&lt;=50),Table1[[#This Row],[Backers Level 5]],0)
+IF(AND(Table1[[#This Row],[Reward Level 6]]&gt;25,Table1[[#This Row],[Reward Level 6]]&lt;=50),Table1[[#This Row],[Backers Level 6]],0)
+IF(AND(Table1[[#This Row],[Reward Level 7]]&gt;25,Table1[[#This Row],[Reward Level 7]]&lt;=50),Table1[[#This Row],[Backers Level 7]],0)
+IF(AND(Table1[[#This Row],[Reward Level 8]]&gt;25,Table1[[#This Row],[Reward Level 8]]&lt;=50),Table1[[#This Row],[Backers Level 8]],0)
+IF(AND(Table1[[#This Row],[Reward Level 9]]&gt;25,Table1[[#This Row],[Reward Level 9]]&lt;=50),Table1[[#This Row],[Backers Level 9]],0)
+IF(AND(Table1[[#This Row],[Reward Level 10]]&gt;25,Table1[[#This Row],[Reward Level 10]]&lt;=50),Table1[[#This Row],[Backers Level 10]],0)
+IF(AND(Table1[[#This Row],[Reward Level 11]]&gt;25,Table1[[#This Row],[Reward Level 11]]&lt;=50),Table1[[#This Row],[Backers Level 11]],0)
+IF(AND(Table1[[#This Row],[Reward Level 12]]&gt;25,Table1[[#This Row],[Reward Level 12]]&lt;=50),Table1[[#This Row],[Backers Level 12]],0)
+IF(AND(Table1[[#This Row],[Reward Level 13]]&gt;25,Table1[[#This Row],[Reward Level 13]]&lt;=50),Table1[[#This Row],[Backers Level 13]],0)
+IF(AND(Table1[[#This Row],[Reward Level 14]]&gt;25,Table1[[#This Row],[Reward Level 14]]&lt;=50),Table1[[#This Row],[Backers Level 14]],0)
+IF(AND(Table1[[#This Row],[Reward Level 15]]&gt;25,Table1[[#This Row],[Reward Level 15]]&lt;=50),Table1[[#This Row],[Backers Level 15]],0)
+IF(AND(Table1[[#This Row],[Reward Level 16]]&gt;25,Table1[[#This Row],[Reward Level 16]]&lt;=50),Table1[[#This Row],[Backers Level 16]],0)
+IF(AND(Table1[[#This Row],[Reward Level 17]]&gt;25,Table1[[#This Row],[Reward Level 17]]&lt;=50),Table1[[#This Row],[Backers Level 17]],0)
+IF(AND(Table1[[#This Row],[Reward Level 18]]&gt;25,Table1[[#This Row],[Reward Level 18]]&lt;=50),Table1[[#This Row],[Backers Level 18]],0)
+IF(AND(Table1[[#This Row],[Reward Level 19]]&gt;25,Table1[[#This Row],[Reward Level 19]]&lt;=50),Table1[[#This Row],[Backers Level 19]],0)
+IF(AND(Table1[[#This Row],[Reward Level 20]]&gt;25,Table1[[#This Row],[Reward Level 20]]&lt;=50),Table1[[#This Row],[Backers Level 20]],0)
+IF(AND(Table1[[#This Row],[Reward Level 21]]&gt;25,Table1[[#This Row],[Reward Level 21]]&lt;=50),Table1[[#This Row],[Backers Level 21]],0)
+IF(AND(Table1[[#This Row],[Reward Level 22]]&gt;25,Table1[[#This Row],[Reward Level 22]]&lt;=50),Table1[[#This Row],[Backers Level 22]],0)
+IF(AND(Table1[[#This Row],[Reward Level 23]]&gt;25,Table1[[#This Row],[Reward Level 23]]&lt;=50),Table1[[#This Row],[Backers Level 23]],0)
+IF(AND(Table1[[#This Row],[Reward Level 24]]&gt;25,Table1[[#This Row],[Reward Level 24]]&lt;=50),Table1[[#This Row],[Backers Level 24]],0)
+IF(AND(Table1[[#This Row],[Reward Level 25]]&gt;25,Table1[[#This Row],[Reward Level 25]]&lt;=50),Table1[[#This Row],[Backers Level 25]],0)
+IF(AND(Table1[[#This Row],[Reward Level 26]]&gt;25,Table1[[#This Row],[Reward Level 26]]&lt;=50),Table1[[#This Row],[Backers Level 26]],0)
+IF(AND(Table1[[#This Row],[Reward Level 27]]&gt;25,Table1[[#This Row],[Reward Level 27]]&lt;=50),Table1[[#This Row],[Backers Level 27]],0)
+IF(AND(Table1[[#This Row],[Reward Level 28]]&gt;25,Table1[[#This Row],[Reward Level 28]]&lt;=50),Table1[[#This Row],[Backers Level 28]],0)
+IF(AND(Table1[[#This Row],[Reward Level 29]]&gt;25,Table1[[#This Row],[Reward Level 29]]&lt;=50),Table1[[#This Row],[Backers Level 29]],0)
+IF(AND(Table1[[#This Row],[Reward Level 30]]&gt;25,Table1[[#This Row],[Reward Level 30]]&lt;=50),Table1[[#This Row],[Backers Level 30]],0)
+IF(AND(Table1[[#This Row],[Reward Level 31]]&gt;25,Table1[[#This Row],[Reward Level 31]]&lt;=50),Table1[[#This Row],[Backers Level 31]],0)
+IF(AND(Table1[[#This Row],[Reward Level 32]]&gt;25,Table1[[#This Row],[Reward Level 32]]&lt;=50),Table1[[#This Row],[Backers Level 32]],0)
+IF(AND(Table1[[#This Row],[Reward Level 33]]&gt;25,Table1[[#This Row],[Reward Level 33]]&lt;=50),Table1[[#This Row],[Backers Level 33]],0)
+IF(AND(Table1[[#This Row],[Reward Level 34]]&gt;25,Table1[[#This Row],[Reward Level 34]]&lt;=50),Table1[[#This Row],[Backers Level 34]],0)
+IF(AND(Table1[[#This Row],[Reward Level 35]]&gt;25,Table1[[#This Row],[Reward Level 35]]&lt;=50),Table1[[#This Row],[Backers Level 35]],0)
+IF(AND(Table1[[#This Row],[Reward Level 36]]&gt;25,Table1[[#This Row],[Reward Level 36]]&lt;=50),Table1[[#This Row],[Backers Level 36]],0))</f>
        <v>1347</v>
      </c>
      <c r="CW103" s="69">
        <f>(IF(AND(Table1[[#This Row],[Reward Level 1]]&gt;50,Table1[[#This Row],[Reward Level 1]]&lt;=100),Table1[[#This Row],[Backers Level 1]],0)
+IF(AND(Table1[[#This Row],[Reward Level 2]]&gt;50,Table1[[#This Row],[Reward Level 2]]&lt;=100),Table1[[#This Row],[Backers Level 2]],0)
+IF(AND(Table1[[#This Row],[Reward Level 3]]&gt;50,Table1[[#This Row],[Reward Level 3]]&lt;=100),Table1[[#This Row],[Backers Level 3]],0)
+IF(AND(Table1[[#This Row],[Reward Level 4]]&gt;50,Table1[[#This Row],[Reward Level 4]]&lt;=100),Table1[[#This Row],[Backers Level 4]],0)
+IF(AND(Table1[[#This Row],[Reward Level 5]]&gt;50,Table1[[#This Row],[Reward Level 5]]&lt;=100),Table1[[#This Row],[Backers Level 5]],0)
+IF(AND(Table1[[#This Row],[Reward Level 6]]&gt;50,Table1[[#This Row],[Reward Level 6]]&lt;=100),Table1[[#This Row],[Backers Level 6]],0)
+IF(AND(Table1[[#This Row],[Reward Level 7]]&gt;50,Table1[[#This Row],[Reward Level 7]]&lt;=100),Table1[[#This Row],[Backers Level 7]],0)
+IF(AND(Table1[[#This Row],[Reward Level 8]]&gt;50,Table1[[#This Row],[Reward Level 8]]&lt;=100),Table1[[#This Row],[Backers Level 8]],0)
+IF(AND(Table1[[#This Row],[Reward Level 9]]&gt;50,Table1[[#This Row],[Reward Level 9]]&lt;=100),Table1[[#This Row],[Backers Level 9]],0)
+IF(AND(Table1[[#This Row],[Reward Level 10]]&gt;50,Table1[[#This Row],[Reward Level 10]]&lt;=100),Table1[[#This Row],[Backers Level 10]],0)
+IF(AND(Table1[[#This Row],[Reward Level 11]]&gt;50,Table1[[#This Row],[Reward Level 11]]&lt;=100),Table1[[#This Row],[Backers Level 11]],0)
+IF(AND(Table1[[#This Row],[Reward Level 12]]&gt;50,Table1[[#This Row],[Reward Level 12]]&lt;=100),Table1[[#This Row],[Backers Level 12]],0)
+IF(AND(Table1[[#This Row],[Reward Level 13]]&gt;50,Table1[[#This Row],[Reward Level 13]]&lt;=100),Table1[[#This Row],[Backers Level 13]],0)
+IF(AND(Table1[[#This Row],[Reward Level 14]]&gt;50,Table1[[#This Row],[Reward Level 14]]&lt;=100),Table1[[#This Row],[Backers Level 14]],0)
+IF(AND(Table1[[#This Row],[Reward Level 15]]&gt;50,Table1[[#This Row],[Reward Level 15]]&lt;=100),Table1[[#This Row],[Backers Level 15]],0)
+IF(AND(Table1[[#This Row],[Reward Level 16]]&gt;50,Table1[[#This Row],[Reward Level 16]]&lt;=100),Table1[[#This Row],[Backers Level 16]],0)
+IF(AND(Table1[[#This Row],[Reward Level 17]]&gt;50,Table1[[#This Row],[Reward Level 17]]&lt;=100),Table1[[#This Row],[Backers Level 17]],0)
+IF(AND(Table1[[#This Row],[Reward Level 18]]&gt;50,Table1[[#This Row],[Reward Level 18]]&lt;=100),Table1[[#This Row],[Backers Level 18]],0)
+IF(AND(Table1[[#This Row],[Reward Level 19]]&gt;50,Table1[[#This Row],[Reward Level 19]]&lt;=100),Table1[[#This Row],[Backers Level 19]],0)
+IF(AND(Table1[[#This Row],[Reward Level 20]]&gt;50,Table1[[#This Row],[Reward Level 20]]&lt;=100),Table1[[#This Row],[Backers Level 20]],0)
+IF(AND(Table1[[#This Row],[Reward Level 21]]&gt;50,Table1[[#This Row],[Reward Level 21]]&lt;=100),Table1[[#This Row],[Backers Level 21]],0)
+IF(AND(Table1[[#This Row],[Reward Level 22]]&gt;50,Table1[[#This Row],[Reward Level 22]]&lt;=100),Table1[[#This Row],[Backers Level 22]],0)
+IF(AND(Table1[[#This Row],[Reward Level 23]]&gt;50,Table1[[#This Row],[Reward Level 23]]&lt;=100),Table1[[#This Row],[Backers Level 23]],0)
+IF(AND(Table1[[#This Row],[Reward Level 24]]&gt;50,Table1[[#This Row],[Reward Level 24]]&lt;=100),Table1[[#This Row],[Backers Level 24]],0)
+IF(AND(Table1[[#This Row],[Reward Level 25]]&gt;50,Table1[[#This Row],[Reward Level 25]]&lt;=100),Table1[[#This Row],[Backers Level 25]],0)
+IF(AND(Table1[[#This Row],[Reward Level 26]]&gt;50,Table1[[#This Row],[Reward Level 26]]&lt;=100),Table1[[#This Row],[Backers Level 26]],0)
+IF(AND(Table1[[#This Row],[Reward Level 27]]&gt;50,Table1[[#This Row],[Reward Level 27]]&lt;=100),Table1[[#This Row],[Backers Level 27]],0)
+IF(AND(Table1[[#This Row],[Reward Level 28]]&gt;50,Table1[[#This Row],[Reward Level 28]]&lt;=100),Table1[[#This Row],[Backers Level 28]],0)
+IF(AND(Table1[[#This Row],[Reward Level 29]]&gt;50,Table1[[#This Row],[Reward Level 29]]&lt;=100),Table1[[#This Row],[Backers Level 29]],0)
+IF(AND(Table1[[#This Row],[Reward Level 30]]&gt;50,Table1[[#This Row],[Reward Level 30]]&lt;=100),Table1[[#This Row],[Backers Level 30]],0)
+IF(AND(Table1[[#This Row],[Reward Level 31]]&gt;50,Table1[[#This Row],[Reward Level 31]]&lt;=100),Table1[[#This Row],[Backers Level 31]],0)
+IF(AND(Table1[[#This Row],[Reward Level 32]]&gt;50,Table1[[#This Row],[Reward Level 32]]&lt;=100),Table1[[#This Row],[Backers Level 32]],0)
+IF(AND(Table1[[#This Row],[Reward Level 33]]&gt;50,Table1[[#This Row],[Reward Level 33]]&lt;=100),Table1[[#This Row],[Backers Level 33]],0)
+IF(AND(Table1[[#This Row],[Reward Level 34]]&gt;50,Table1[[#This Row],[Reward Level 34]]&lt;=100),Table1[[#This Row],[Backers Level 34]],0)
+IF(AND(Table1[[#This Row],[Reward Level 35]]&gt;50,Table1[[#This Row],[Reward Level 35]]&lt;=100),Table1[[#This Row],[Backers Level 35]],0)
+IF(AND(Table1[[#This Row],[Reward Level 36]]&gt;50,Table1[[#This Row],[Reward Level 36]]&lt;=100),Table1[[#This Row],[Backers Level 36]],0))</f>
        <v>488</v>
      </c>
      <c r="CX103" s="69">
        <f>(IF(AND(Table1[[#This Row],[Reward Level 1]]&gt;100,Table1[[#This Row],[Reward Level 1]]&lt;=250),Table1[[#This Row],[Backers Level 1]],0)
+IF(AND(Table1[[#This Row],[Reward Level 2]]&gt;100,Table1[[#This Row],[Reward Level 2]]&lt;=250),Table1[[#This Row],[Backers Level 2]],0)
+IF(AND(Table1[[#This Row],[Reward Level 3]]&gt;100,Table1[[#This Row],[Reward Level 3]]&lt;=250),Table1[[#This Row],[Backers Level 3]],0)
+IF(AND(Table1[[#This Row],[Reward Level 4]]&gt;100,Table1[[#This Row],[Reward Level 4]]&lt;=250),Table1[[#This Row],[Backers Level 4]],0)
+IF(AND(Table1[[#This Row],[Reward Level 5]]&gt;100,Table1[[#This Row],[Reward Level 5]]&lt;=250),Table1[[#This Row],[Backers Level 5]],0)
+IF(AND(Table1[[#This Row],[Reward Level 6]]&gt;100,Table1[[#This Row],[Reward Level 6]]&lt;=250),Table1[[#This Row],[Backers Level 6]],0)
+IF(AND(Table1[[#This Row],[Reward Level 7]]&gt;100,Table1[[#This Row],[Reward Level 7]]&lt;=250),Table1[[#This Row],[Backers Level 7]],0)
+IF(AND(Table1[[#This Row],[Reward Level 8]]&gt;100,Table1[[#This Row],[Reward Level 8]]&lt;=250),Table1[[#This Row],[Backers Level 8]],0)
+IF(AND(Table1[[#This Row],[Reward Level 9]]&gt;100,Table1[[#This Row],[Reward Level 9]]&lt;=250),Table1[[#This Row],[Backers Level 9]],0)
+IF(AND(Table1[[#This Row],[Reward Level 10]]&gt;100,Table1[[#This Row],[Reward Level 10]]&lt;=250),Table1[[#This Row],[Backers Level 10]],0)
+IF(AND(Table1[[#This Row],[Reward Level 11]]&gt;100,Table1[[#This Row],[Reward Level 11]]&lt;=250),Table1[[#This Row],[Backers Level 11]],0)
+IF(AND(Table1[[#This Row],[Reward Level 12]]&gt;100,Table1[[#This Row],[Reward Level 12]]&lt;=250),Table1[[#This Row],[Backers Level 12]],0)
+IF(AND(Table1[[#This Row],[Reward Level 13]]&gt;100,Table1[[#This Row],[Reward Level 13]]&lt;=250),Table1[[#This Row],[Backers Level 13]],0)
+IF(AND(Table1[[#This Row],[Reward Level 14]]&gt;100,Table1[[#This Row],[Reward Level 14]]&lt;=250),Table1[[#This Row],[Backers Level 14]],0)
+IF(AND(Table1[[#This Row],[Reward Level 15]]&gt;100,Table1[[#This Row],[Reward Level 15]]&lt;=250),Table1[[#This Row],[Backers Level 15]],0)
+IF(AND(Table1[[#This Row],[Reward Level 16]]&gt;100,Table1[[#This Row],[Reward Level 16]]&lt;=250),Table1[[#This Row],[Backers Level 16]],0)
+IF(AND(Table1[[#This Row],[Reward Level 17]]&gt;100,Table1[[#This Row],[Reward Level 17]]&lt;=250),Table1[[#This Row],[Backers Level 17]],0)
+IF(AND(Table1[[#This Row],[Reward Level 18]]&gt;100,Table1[[#This Row],[Reward Level 18]]&lt;=250),Table1[[#This Row],[Backers Level 18]],0)
+IF(AND(Table1[[#This Row],[Reward Level 19]]&gt;100,Table1[[#This Row],[Reward Level 19]]&lt;=250),Table1[[#This Row],[Backers Level 19]],0)
+IF(AND(Table1[[#This Row],[Reward Level 20]]&gt;100,Table1[[#This Row],[Reward Level 20]]&lt;=250),Table1[[#This Row],[Backers Level 20]],0)
+IF(AND(Table1[[#This Row],[Reward Level 21]]&gt;100,Table1[[#This Row],[Reward Level 21]]&lt;=250),Table1[[#This Row],[Backers Level 21]],0)
+IF(AND(Table1[[#This Row],[Reward Level 22]]&gt;100,Table1[[#This Row],[Reward Level 22]]&lt;=250),Table1[[#This Row],[Backers Level 22]],0)
+IF(AND(Table1[[#This Row],[Reward Level 23]]&gt;100,Table1[[#This Row],[Reward Level 23]]&lt;=250),Table1[[#This Row],[Backers Level 23]],0)
+IF(AND(Table1[[#This Row],[Reward Level 24]]&gt;100,Table1[[#This Row],[Reward Level 24]]&lt;=250),Table1[[#This Row],[Backers Level 24]],0)
+IF(AND(Table1[[#This Row],[Reward Level 25]]&gt;100,Table1[[#This Row],[Reward Level 25]]&lt;=250),Table1[[#This Row],[Backers Level 25]],0)
+IF(AND(Table1[[#This Row],[Reward Level 26]]&gt;100,Table1[[#This Row],[Reward Level 26]]&lt;=250),Table1[[#This Row],[Backers Level 26]],0)
+IF(AND(Table1[[#This Row],[Reward Level 27]]&gt;100,Table1[[#This Row],[Reward Level 27]]&lt;=250),Table1[[#This Row],[Backers Level 27]],0)
+IF(AND(Table1[[#This Row],[Reward Level 28]]&gt;100,Table1[[#This Row],[Reward Level 28]]&lt;=250),Table1[[#This Row],[Backers Level 28]],0)
+IF(AND(Table1[[#This Row],[Reward Level 29]]&gt;100,Table1[[#This Row],[Reward Level 29]]&lt;=250),Table1[[#This Row],[Backers Level 29]],0)
+IF(AND(Table1[[#This Row],[Reward Level 30]]&gt;100,Table1[[#This Row],[Reward Level 30]]&lt;=250),Table1[[#This Row],[Backers Level 30]],0)
+IF(AND(Table1[[#This Row],[Reward Level 31]]&gt;100,Table1[[#This Row],[Reward Level 31]]&lt;=250),Table1[[#This Row],[Backers Level 31]],0)
+IF(AND(Table1[[#This Row],[Reward Level 32]]&gt;100,Table1[[#This Row],[Reward Level 32]]&lt;=250),Table1[[#This Row],[Backers Level 32]],0)
+IF(AND(Table1[[#This Row],[Reward Level 33]]&gt;100,Table1[[#This Row],[Reward Level 33]]&lt;=250),Table1[[#This Row],[Backers Level 33]],0)
+IF(AND(Table1[[#This Row],[Reward Level 34]]&gt;100,Table1[[#This Row],[Reward Level 34]]&lt;=250),Table1[[#This Row],[Backers Level 34]],0)
+IF(AND(Table1[[#This Row],[Reward Level 35]]&gt;100,Table1[[#This Row],[Reward Level 35]]&lt;=250),Table1[[#This Row],[Backers Level 35]],0)
+IF(AND(Table1[[#This Row],[Reward Level 36]]&gt;100,Table1[[#This Row],[Reward Level 36]]&lt;=250),Table1[[#This Row],[Backers Level 36]],0))</f>
        <v>1673</v>
      </c>
      <c r="CY103" s="69">
        <f>(IF(AND(Table1[[#This Row],[Reward Level 1]]&gt;250,Table1[[#This Row],[Reward Level 1]]&lt;=500),Table1[[#This Row],[Backers Level 1]],0)
+IF(AND(Table1[[#This Row],[Reward Level 2]]&gt;250,Table1[[#This Row],[Reward Level 2]]&lt;=500),Table1[[#This Row],[Backers Level 2]],0)
+IF(AND(Table1[[#This Row],[Reward Level 3]]&gt;250,Table1[[#This Row],[Reward Level 3]]&lt;=500),Table1[[#This Row],[Backers Level 3]],0)
+IF(AND(Table1[[#This Row],[Reward Level 4]]&gt;250,Table1[[#This Row],[Reward Level 4]]&lt;=500),Table1[[#This Row],[Backers Level 4]],0)
+IF(AND(Table1[[#This Row],[Reward Level 5]]&gt;250,Table1[[#This Row],[Reward Level 5]]&lt;=500),Table1[[#This Row],[Backers Level 5]],0)
+IF(AND(Table1[[#This Row],[Reward Level 6]]&gt;250,Table1[[#This Row],[Reward Level 6]]&lt;=500),Table1[[#This Row],[Backers Level 6]],0)
+IF(AND(Table1[[#This Row],[Reward Level 7]]&gt;250,Table1[[#This Row],[Reward Level 7]]&lt;=500),Table1[[#This Row],[Backers Level 7]],0)
+IF(AND(Table1[[#This Row],[Reward Level 8]]&gt;250,Table1[[#This Row],[Reward Level 8]]&lt;=500),Table1[[#This Row],[Backers Level 8]],0)
+IF(AND(Table1[[#This Row],[Reward Level 9]]&gt;250,Table1[[#This Row],[Reward Level 9]]&lt;=500),Table1[[#This Row],[Backers Level 9]],0)
+IF(AND(Table1[[#This Row],[Reward Level 10]]&gt;250,Table1[[#This Row],[Reward Level 10]]&lt;=500),Table1[[#This Row],[Backers Level 10]],0)
+IF(AND(Table1[[#This Row],[Reward Level 11]]&gt;250,Table1[[#This Row],[Reward Level 11]]&lt;=500),Table1[[#This Row],[Backers Level 11]],0)
+IF(AND(Table1[[#This Row],[Reward Level 12]]&gt;250,Table1[[#This Row],[Reward Level 12]]&lt;=500),Table1[[#This Row],[Backers Level 12]],0)
+IF(AND(Table1[[#This Row],[Reward Level 13]]&gt;250,Table1[[#This Row],[Reward Level 13]]&lt;=500),Table1[[#This Row],[Backers Level 13]],0)
+IF(AND(Table1[[#This Row],[Reward Level 14]]&gt;250,Table1[[#This Row],[Reward Level 14]]&lt;=500),Table1[[#This Row],[Backers Level 14]],0)
+IF(AND(Table1[[#This Row],[Reward Level 15]]&gt;250,Table1[[#This Row],[Reward Level 15]]&lt;=500),Table1[[#This Row],[Backers Level 15]],0)
+IF(AND(Table1[[#This Row],[Reward Level 16]]&gt;250,Table1[[#This Row],[Reward Level 16]]&lt;=500),Table1[[#This Row],[Backers Level 16]],0)
+IF(AND(Table1[[#This Row],[Reward Level 17]]&gt;250,Table1[[#This Row],[Reward Level 17]]&lt;=500),Table1[[#This Row],[Backers Level 17]],0)
+IF(AND(Table1[[#This Row],[Reward Level 18]]&gt;250,Table1[[#This Row],[Reward Level 18]]&lt;=500),Table1[[#This Row],[Backers Level 18]],0)
+IF(AND(Table1[[#This Row],[Reward Level 19]]&gt;250,Table1[[#This Row],[Reward Level 19]]&lt;=500),Table1[[#This Row],[Backers Level 19]],0)
+IF(AND(Table1[[#This Row],[Reward Level 20]]&gt;250,Table1[[#This Row],[Reward Level 20]]&lt;=500),Table1[[#This Row],[Backers Level 20]],0)
+IF(AND(Table1[[#This Row],[Reward Level 21]]&gt;250,Table1[[#This Row],[Reward Level 21]]&lt;=500),Table1[[#This Row],[Backers Level 21]],0)
+IF(AND(Table1[[#This Row],[Reward Level 22]]&gt;250,Table1[[#This Row],[Reward Level 22]]&lt;=500),Table1[[#This Row],[Backers Level 22]],0)
+IF(AND(Table1[[#This Row],[Reward Level 23]]&gt;250,Table1[[#This Row],[Reward Level 23]]&lt;=500),Table1[[#This Row],[Backers Level 23]],0)
+IF(AND(Table1[[#This Row],[Reward Level 24]]&gt;250,Table1[[#This Row],[Reward Level 24]]&lt;=500),Table1[[#This Row],[Backers Level 24]],0)
+IF(AND(Table1[[#This Row],[Reward Level 25]]&gt;250,Table1[[#This Row],[Reward Level 25]]&lt;=500),Table1[[#This Row],[Backers Level 25]],0)
+IF(AND(Table1[[#This Row],[Reward Level 26]]&gt;250,Table1[[#This Row],[Reward Level 26]]&lt;=500),Table1[[#This Row],[Backers Level 26]],0)
+IF(AND(Table1[[#This Row],[Reward Level 27]]&gt;250,Table1[[#This Row],[Reward Level 27]]&lt;=500),Table1[[#This Row],[Backers Level 27]],0)
+IF(AND(Table1[[#This Row],[Reward Level 28]]&gt;250,Table1[[#This Row],[Reward Level 28]]&lt;=500),Table1[[#This Row],[Backers Level 28]],0)
+IF(AND(Table1[[#This Row],[Reward Level 29]]&gt;250,Table1[[#This Row],[Reward Level 29]]&lt;=500),Table1[[#This Row],[Backers Level 29]],0)
+IF(AND(Table1[[#This Row],[Reward Level 30]]&gt;250,Table1[[#This Row],[Reward Level 30]]&lt;=500),Table1[[#This Row],[Backers Level 30]],0)
+IF(AND(Table1[[#This Row],[Reward Level 31]]&gt;250,Table1[[#This Row],[Reward Level 31]]&lt;=500),Table1[[#This Row],[Backers Level 31]],0)
+IF(AND(Table1[[#This Row],[Reward Level 32]]&gt;250,Table1[[#This Row],[Reward Level 32]]&lt;=500),Table1[[#This Row],[Backers Level 32]],0)
+IF(AND(Table1[[#This Row],[Reward Level 33]]&gt;250,Table1[[#This Row],[Reward Level 33]]&lt;=500),Table1[[#This Row],[Backers Level 33]],0)
+IF(AND(Table1[[#This Row],[Reward Level 34]]&gt;250,Table1[[#This Row],[Reward Level 34]]&lt;=500),Table1[[#This Row],[Backers Level 34]],0)
+IF(AND(Table1[[#This Row],[Reward Level 35]]&gt;250,Table1[[#This Row],[Reward Level 35]]&lt;=500),Table1[[#This Row],[Backers Level 35]],0)
+IF(AND(Table1[[#This Row],[Reward Level 36]]&gt;250,Table1[[#This Row],[Reward Level 36]]&lt;=500),Table1[[#This Row],[Backers Level 36]],0))</f>
        <v>739</v>
      </c>
      <c r="CZ103" s="69">
        <f>(IF(AND(Table1[[#This Row],[Reward Level 1]]&gt;500,Table1[[#This Row],[Reward Level 1]]&lt;=1000),Table1[[#This Row],[Backers Level 1]],0)
+IF(AND(Table1[[#This Row],[Reward Level 2]]&gt;500,Table1[[#This Row],[Reward Level 2]]&lt;=1000),Table1[[#This Row],[Backers Level 2]],0)
+IF(AND(Table1[[#This Row],[Reward Level 3]]&gt;500,Table1[[#This Row],[Reward Level 3]]&lt;=1000),Table1[[#This Row],[Backers Level 3]],0)
+IF(AND(Table1[[#This Row],[Reward Level 4]]&gt;500,Table1[[#This Row],[Reward Level 4]]&lt;=1000),Table1[[#This Row],[Backers Level 4]],0)
+IF(AND(Table1[[#This Row],[Reward Level 5]]&gt;500,Table1[[#This Row],[Reward Level 5]]&lt;=1000),Table1[[#This Row],[Backers Level 5]],0)
+IF(AND(Table1[[#This Row],[Reward Level 6]]&gt;500,Table1[[#This Row],[Reward Level 6]]&lt;=1000),Table1[[#This Row],[Backers Level 6]],0)
+IF(AND(Table1[[#This Row],[Reward Level 7]]&gt;500,Table1[[#This Row],[Reward Level 7]]&lt;=1000),Table1[[#This Row],[Backers Level 7]],0)
+IF(AND(Table1[[#This Row],[Reward Level 8]]&gt;500,Table1[[#This Row],[Reward Level 8]]&lt;=1000),Table1[[#This Row],[Backers Level 8]],0)
+IF(AND(Table1[[#This Row],[Reward Level 9]]&gt;500,Table1[[#This Row],[Reward Level 9]]&lt;=1000),Table1[[#This Row],[Backers Level 9]],0)
+IF(AND(Table1[[#This Row],[Reward Level 10]]&gt;500,Table1[[#This Row],[Reward Level 10]]&lt;=1000),Table1[[#This Row],[Backers Level 10]],0)
+IF(AND(Table1[[#This Row],[Reward Level 11]]&gt;500,Table1[[#This Row],[Reward Level 11]]&lt;=1000),Table1[[#This Row],[Backers Level 11]],0)
+IF(AND(Table1[[#This Row],[Reward Level 12]]&gt;500,Table1[[#This Row],[Reward Level 12]]&lt;=1000),Table1[[#This Row],[Backers Level 12]],0)
+IF(AND(Table1[[#This Row],[Reward Level 13]]&gt;500,Table1[[#This Row],[Reward Level 13]]&lt;=1000),Table1[[#This Row],[Backers Level 13]],0)
+IF(AND(Table1[[#This Row],[Reward Level 14]]&gt;500,Table1[[#This Row],[Reward Level 14]]&lt;=1000),Table1[[#This Row],[Backers Level 14]],0)
+IF(AND(Table1[[#This Row],[Reward Level 15]]&gt;500,Table1[[#This Row],[Reward Level 15]]&lt;=1000),Table1[[#This Row],[Backers Level 15]],0)
+IF(AND(Table1[[#This Row],[Reward Level 16]]&gt;500,Table1[[#This Row],[Reward Level 16]]&lt;=1000),Table1[[#This Row],[Backers Level 16]],0)
+IF(AND(Table1[[#This Row],[Reward Level 17]]&gt;500,Table1[[#This Row],[Reward Level 17]]&lt;=1000),Table1[[#This Row],[Backers Level 17]],0)
+IF(AND(Table1[[#This Row],[Reward Level 18]]&gt;500,Table1[[#This Row],[Reward Level 18]]&lt;=1000),Table1[[#This Row],[Backers Level 18]],0)
+IF(AND(Table1[[#This Row],[Reward Level 19]]&gt;500,Table1[[#This Row],[Reward Level 19]]&lt;=1000),Table1[[#This Row],[Backers Level 19]],0)
+IF(AND(Table1[[#This Row],[Reward Level 20]]&gt;500,Table1[[#This Row],[Reward Level 20]]&lt;=1000),Table1[[#This Row],[Backers Level 20]],0)
+IF(AND(Table1[[#This Row],[Reward Level 21]]&gt;500,Table1[[#This Row],[Reward Level 21]]&lt;=1000),Table1[[#This Row],[Backers Level 21]],0)
+IF(AND(Table1[[#This Row],[Reward Level 22]]&gt;500,Table1[[#This Row],[Reward Level 22]]&lt;=1000),Table1[[#This Row],[Backers Level 22]],0)
+IF(AND(Table1[[#This Row],[Reward Level 23]]&gt;500,Table1[[#This Row],[Reward Level 23]]&lt;=1000),Table1[[#This Row],[Backers Level 23]],0)
+IF(AND(Table1[[#This Row],[Reward Level 24]]&gt;500,Table1[[#This Row],[Reward Level 24]]&lt;=1000),Table1[[#This Row],[Backers Level 24]],0)
+IF(AND(Table1[[#This Row],[Reward Level 25]]&gt;500,Table1[[#This Row],[Reward Level 25]]&lt;=1000),Table1[[#This Row],[Backers Level 25]],0)
+IF(AND(Table1[[#This Row],[Reward Level 26]]&gt;500,Table1[[#This Row],[Reward Level 26]]&lt;=1000),Table1[[#This Row],[Backers Level 26]],0)
+IF(AND(Table1[[#This Row],[Reward Level 27]]&gt;500,Table1[[#This Row],[Reward Level 27]]&lt;=1000),Table1[[#This Row],[Backers Level 27]],0)
+IF(AND(Table1[[#This Row],[Reward Level 28]]&gt;500,Table1[[#This Row],[Reward Level 28]]&lt;=1000),Table1[[#This Row],[Backers Level 28]],0)
+IF(AND(Table1[[#This Row],[Reward Level 29]]&gt;500,Table1[[#This Row],[Reward Level 29]]&lt;=1000),Table1[[#This Row],[Backers Level 29]],0)
+IF(AND(Table1[[#This Row],[Reward Level 30]]&gt;500,Table1[[#This Row],[Reward Level 30]]&lt;=1000),Table1[[#This Row],[Backers Level 30]],0)
+IF(AND(Table1[[#This Row],[Reward Level 31]]&gt;500,Table1[[#This Row],[Reward Level 31]]&lt;=1000),Table1[[#This Row],[Backers Level 31]],0)
+IF(AND(Table1[[#This Row],[Reward Level 32]]&gt;500,Table1[[#This Row],[Reward Level 32]]&lt;=1000),Table1[[#This Row],[Backers Level 32]],0)
+IF(AND(Table1[[#This Row],[Reward Level 33]]&gt;500,Table1[[#This Row],[Reward Level 33]]&lt;=1000),Table1[[#This Row],[Backers Level 33]],0)
+IF(AND(Table1[[#This Row],[Reward Level 34]]&gt;500,Table1[[#This Row],[Reward Level 34]]&lt;=1000),Table1[[#This Row],[Backers Level 34]],0)
+IF(AND(Table1[[#This Row],[Reward Level 35]]&gt;500,Table1[[#This Row],[Reward Level 35]]&lt;=1000),Table1[[#This Row],[Backers Level 35]],0)
+IF(AND(Table1[[#This Row],[Reward Level 36]]&gt;500,Table1[[#This Row],[Reward Level 36]]&lt;=1000),Table1[[#This Row],[Backers Level 36]],0))</f>
        <v>104</v>
      </c>
      <c r="DA103" s="69">
        <f>(IF(AND(Table1[[#This Row],[Reward Level 1]]&gt;1000,Table1[[#This Row],[Reward Level 1]]&lt;=2500),Table1[[#This Row],[Backers Level 1]],0)
+IF(AND(Table1[[#This Row],[Reward Level 2]]&gt;1000,Table1[[#This Row],[Reward Level 2]]&lt;=2500),Table1[[#This Row],[Backers Level 2]],0)
+IF(AND(Table1[[#This Row],[Reward Level 3]]&gt;1000,Table1[[#This Row],[Reward Level 3]]&lt;=2500),Table1[[#This Row],[Backers Level 3]],0)
+IF(AND(Table1[[#This Row],[Reward Level 4]]&gt;1000,Table1[[#This Row],[Reward Level 4]]&lt;=2500),Table1[[#This Row],[Backers Level 4]],0)
+IF(AND(Table1[[#This Row],[Reward Level 5]]&gt;1000,Table1[[#This Row],[Reward Level 5]]&lt;=2500),Table1[[#This Row],[Backers Level 5]],0)
+IF(AND(Table1[[#This Row],[Reward Level 6]]&gt;1000,Table1[[#This Row],[Reward Level 6]]&lt;=2500),Table1[[#This Row],[Backers Level 6]],0)
+IF(AND(Table1[[#This Row],[Reward Level 7]]&gt;1000,Table1[[#This Row],[Reward Level 7]]&lt;=2500),Table1[[#This Row],[Backers Level 7]],0)
+IF(AND(Table1[[#This Row],[Reward Level 8]]&gt;1000,Table1[[#This Row],[Reward Level 8]]&lt;=2500),Table1[[#This Row],[Backers Level 8]],0)
+IF(AND(Table1[[#This Row],[Reward Level 9]]&gt;1000,Table1[[#This Row],[Reward Level 9]]&lt;=2500),Table1[[#This Row],[Backers Level 9]],0)
+IF(AND(Table1[[#This Row],[Reward Level 10]]&gt;1000,Table1[[#This Row],[Reward Level 10]]&lt;=2500),Table1[[#This Row],[Backers Level 10]],0)
+IF(AND(Table1[[#This Row],[Reward Level 11]]&gt;1000,Table1[[#This Row],[Reward Level 11]]&lt;=2500),Table1[[#This Row],[Backers Level 11]],0)
+IF(AND(Table1[[#This Row],[Reward Level 12]]&gt;1000,Table1[[#This Row],[Reward Level 12]]&lt;=2500),Table1[[#This Row],[Backers Level 12]],0)
+IF(AND(Table1[[#This Row],[Reward Level 13]]&gt;1000,Table1[[#This Row],[Reward Level 13]]&lt;=2500),Table1[[#This Row],[Backers Level 13]],0)
+IF(AND(Table1[[#This Row],[Reward Level 14]]&gt;1000,Table1[[#This Row],[Reward Level 14]]&lt;=2500),Table1[[#This Row],[Backers Level 14]],0)
+IF(AND(Table1[[#This Row],[Reward Level 15]]&gt;1000,Table1[[#This Row],[Reward Level 15]]&lt;=2500),Table1[[#This Row],[Backers Level 15]],0)
+IF(AND(Table1[[#This Row],[Reward Level 16]]&gt;1000,Table1[[#This Row],[Reward Level 16]]&lt;=2500),Table1[[#This Row],[Backers Level 16]],0)
+IF(AND(Table1[[#This Row],[Reward Level 17]]&gt;1000,Table1[[#This Row],[Reward Level 17]]&lt;=2500),Table1[[#This Row],[Backers Level 17]],0)
+IF(AND(Table1[[#This Row],[Reward Level 18]]&gt;1000,Table1[[#This Row],[Reward Level 18]]&lt;=2500),Table1[[#This Row],[Backers Level 18]],0)
+IF(AND(Table1[[#This Row],[Reward Level 19]]&gt;1000,Table1[[#This Row],[Reward Level 19]]&lt;=2500),Table1[[#This Row],[Backers Level 19]],0)
+IF(AND(Table1[[#This Row],[Reward Level 20]]&gt;1000,Table1[[#This Row],[Reward Level 20]]&lt;=2500),Table1[[#This Row],[Backers Level 20]],0)
+IF(AND(Table1[[#This Row],[Reward Level 21]]&gt;1000,Table1[[#This Row],[Reward Level 21]]&lt;=2500),Table1[[#This Row],[Backers Level 21]],0)
+IF(AND(Table1[[#This Row],[Reward Level 22]]&gt;1000,Table1[[#This Row],[Reward Level 22]]&lt;=2500),Table1[[#This Row],[Backers Level 22]],0)
+IF(AND(Table1[[#This Row],[Reward Level 23]]&gt;1000,Table1[[#This Row],[Reward Level 23]]&lt;=2500),Table1[[#This Row],[Backers Level 23]],0)
+IF(AND(Table1[[#This Row],[Reward Level 24]]&gt;1000,Table1[[#This Row],[Reward Level 24]]&lt;=2500),Table1[[#This Row],[Backers Level 24]],0)
+IF(AND(Table1[[#This Row],[Reward Level 25]]&gt;1000,Table1[[#This Row],[Reward Level 25]]&lt;=2500),Table1[[#This Row],[Backers Level 25]],0)
+IF(AND(Table1[[#This Row],[Reward Level 26]]&gt;1000,Table1[[#This Row],[Reward Level 26]]&lt;=2500),Table1[[#This Row],[Backers Level 26]],0)
+IF(AND(Table1[[#This Row],[Reward Level 27]]&gt;1000,Table1[[#This Row],[Reward Level 27]]&lt;=2500),Table1[[#This Row],[Backers Level 27]],0)
+IF(AND(Table1[[#This Row],[Reward Level 28]]&gt;1000,Table1[[#This Row],[Reward Level 28]]&lt;=2500),Table1[[#This Row],[Backers Level 28]],0)
+IF(AND(Table1[[#This Row],[Reward Level 29]]&gt;1000,Table1[[#This Row],[Reward Level 29]]&lt;=2500),Table1[[#This Row],[Backers Level 29]],0)
+IF(AND(Table1[[#This Row],[Reward Level 30]]&gt;1000,Table1[[#This Row],[Reward Level 30]]&lt;=2500),Table1[[#This Row],[Backers Level 30]],0)
+IF(AND(Table1[[#This Row],[Reward Level 31]]&gt;1000,Table1[[#This Row],[Reward Level 31]]&lt;=2500),Table1[[#This Row],[Backers Level 31]],0)
+IF(AND(Table1[[#This Row],[Reward Level 32]]&gt;1000,Table1[[#This Row],[Reward Level 32]]&lt;=2500),Table1[[#This Row],[Backers Level 32]],0)
+IF(AND(Table1[[#This Row],[Reward Level 33]]&gt;1000,Table1[[#This Row],[Reward Level 33]]&lt;=2500),Table1[[#This Row],[Backers Level 33]],0)
+IF(AND(Table1[[#This Row],[Reward Level 34]]&gt;1000,Table1[[#This Row],[Reward Level 34]]&lt;=2500),Table1[[#This Row],[Backers Level 34]],0)
+IF(AND(Table1[[#This Row],[Reward Level 35]]&gt;1000,Table1[[#This Row],[Reward Level 35]]&lt;=2500),Table1[[#This Row],[Backers Level 35]],0)
+IF(AND(Table1[[#This Row],[Reward Level 36]]&gt;1000,Table1[[#This Row],[Reward Level 36]]&lt;=2500),Table1[[#This Row],[Backers Level 36]],0))</f>
        <v>0</v>
      </c>
      <c r="DB103" s="69">
        <f>(IF(AND(Table1[[#This Row],[Reward Level 1]]&gt;2500,Table1[[#This Row],[Reward Level 1]]&lt;=10000000),Table1[[#This Row],[Backers Level 1]],0)
+IF(AND(Table1[[#This Row],[Reward Level 2]]&gt;2500,Table1[[#This Row],[Reward Level 2]]&lt;=10000000),Table1[[#This Row],[Backers Level 2]],0)
+IF(AND(Table1[[#This Row],[Reward Level 3]]&gt;2500,Table1[[#This Row],[Reward Level 3]]&lt;=10000000),Table1[[#This Row],[Backers Level 3]],0)
+IF(AND(Table1[[#This Row],[Reward Level 4]]&gt;2500,Table1[[#This Row],[Reward Level 4]]&lt;=10000000),Table1[[#This Row],[Backers Level 4]],0)
+IF(AND(Table1[[#This Row],[Reward Level 5]]&gt;2500,Table1[[#This Row],[Reward Level 5]]&lt;=10000000),Table1[[#This Row],[Backers Level 5]],0)
+IF(AND(Table1[[#This Row],[Reward Level 6]]&gt;2500,Table1[[#This Row],[Reward Level 6]]&lt;=10000000),Table1[[#This Row],[Backers Level 6]],0)
+IF(AND(Table1[[#This Row],[Reward Level 7]]&gt;2500,Table1[[#This Row],[Reward Level 7]]&lt;=10000000),Table1[[#This Row],[Backers Level 7]],0)
+IF(AND(Table1[[#This Row],[Reward Level 8]]&gt;2500,Table1[[#This Row],[Reward Level 8]]&lt;=10000000),Table1[[#This Row],[Backers Level 8]],0)
+IF(AND(Table1[[#This Row],[Reward Level 9]]&gt;2500,Table1[[#This Row],[Reward Level 9]]&lt;=10000000),Table1[[#This Row],[Backers Level 9]],0)
+IF(AND(Table1[[#This Row],[Reward Level 10]]&gt;2500,Table1[[#This Row],[Reward Level 10]]&lt;=10000000),Table1[[#This Row],[Backers Level 10]],0)
+IF(AND(Table1[[#This Row],[Reward Level 11]]&gt;2500,Table1[[#This Row],[Reward Level 11]]&lt;=10000000),Table1[[#This Row],[Backers Level 11]],0)
+IF(AND(Table1[[#This Row],[Reward Level 12]]&gt;2500,Table1[[#This Row],[Reward Level 12]]&lt;=10000000),Table1[[#This Row],[Backers Level 12]],0)
+IF(AND(Table1[[#This Row],[Reward Level 13]]&gt;2500,Table1[[#This Row],[Reward Level 13]]&lt;=10000000),Table1[[#This Row],[Backers Level 13]],0)
+IF(AND(Table1[[#This Row],[Reward Level 14]]&gt;2500,Table1[[#This Row],[Reward Level 14]]&lt;=10000000),Table1[[#This Row],[Backers Level 14]],0)
+IF(AND(Table1[[#This Row],[Reward Level 15]]&gt;2500,Table1[[#This Row],[Reward Level 15]]&lt;=10000000),Table1[[#This Row],[Backers Level 15]],0)
+IF(AND(Table1[[#This Row],[Reward Level 16]]&gt;2500,Table1[[#This Row],[Reward Level 16]]&lt;=10000000),Table1[[#This Row],[Backers Level 16]],0)
+IF(AND(Table1[[#This Row],[Reward Level 17]]&gt;2500,Table1[[#This Row],[Reward Level 17]]&lt;=10000000),Table1[[#This Row],[Backers Level 17]],0)
+IF(AND(Table1[[#This Row],[Reward Level 18]]&gt;2500,Table1[[#This Row],[Reward Level 18]]&lt;=10000000),Table1[[#This Row],[Backers Level 18]],0)
+IF(AND(Table1[[#This Row],[Reward Level 19]]&gt;2500,Table1[[#This Row],[Reward Level 19]]&lt;=10000000),Table1[[#This Row],[Backers Level 19]],0)
+IF(AND(Table1[[#This Row],[Reward Level 20]]&gt;2500,Table1[[#This Row],[Reward Level 20]]&lt;=10000000),Table1[[#This Row],[Backers Level 20]],0)
+IF(AND(Table1[[#This Row],[Reward Level 21]]&gt;2500,Table1[[#This Row],[Reward Level 21]]&lt;=10000000),Table1[[#This Row],[Backers Level 21]],0)
+IF(AND(Table1[[#This Row],[Reward Level 22]]&gt;2500,Table1[[#This Row],[Reward Level 22]]&lt;=10000000),Table1[[#This Row],[Backers Level 22]],0)
+IF(AND(Table1[[#This Row],[Reward Level 23]]&gt;2500,Table1[[#This Row],[Reward Level 23]]&lt;=10000000),Table1[[#This Row],[Backers Level 23]],0)
+IF(AND(Table1[[#This Row],[Reward Level 24]]&gt;2500,Table1[[#This Row],[Reward Level 24]]&lt;=10000000),Table1[[#This Row],[Backers Level 24]],0)
+IF(AND(Table1[[#This Row],[Reward Level 25]]&gt;2500,Table1[[#This Row],[Reward Level 25]]&lt;=10000000),Table1[[#This Row],[Backers Level 25]],0)
+IF(AND(Table1[[#This Row],[Reward Level 26]]&gt;2500,Table1[[#This Row],[Reward Level 26]]&lt;=10000000),Table1[[#This Row],[Backers Level 26]],0)
+IF(AND(Table1[[#This Row],[Reward Level 27]]&gt;2500,Table1[[#This Row],[Reward Level 27]]&lt;=10000000),Table1[[#This Row],[Backers Level 27]],0)
+IF(AND(Table1[[#This Row],[Reward Level 28]]&gt;2500,Table1[[#This Row],[Reward Level 28]]&lt;=10000000),Table1[[#This Row],[Backers Level 28]],0)
+IF(AND(Table1[[#This Row],[Reward Level 29]]&gt;2500,Table1[[#This Row],[Reward Level 29]]&lt;=10000000),Table1[[#This Row],[Backers Level 29]],0)
+IF(AND(Table1[[#This Row],[Reward Level 30]]&gt;2500,Table1[[#This Row],[Reward Level 30]]&lt;=10000000),Table1[[#This Row],[Backers Level 30]],0)
+IF(AND(Table1[[#This Row],[Reward Level 31]]&gt;2500,Table1[[#This Row],[Reward Level 31]]&lt;=10000000),Table1[[#This Row],[Backers Level 31]],0)
+IF(AND(Table1[[#This Row],[Reward Level 32]]&gt;2500,Table1[[#This Row],[Reward Level 32]]&lt;=10000000),Table1[[#This Row],[Backers Level 32]],0)
+IF(AND(Table1[[#This Row],[Reward Level 33]]&gt;2500,Table1[[#This Row],[Reward Level 33]]&lt;=10000000),Table1[[#This Row],[Backers Level 33]],0)
+IF(AND(Table1[[#This Row],[Reward Level 34]]&gt;2500,Table1[[#This Row],[Reward Level 34]]&lt;=10000000),Table1[[#This Row],[Backers Level 34]],0)
+IF(AND(Table1[[#This Row],[Reward Level 35]]&gt;2500,Table1[[#This Row],[Reward Level 35]]&lt;=10000000),Table1[[#This Row],[Backers Level 35]],0)
+IF(AND(Table1[[#This Row],[Reward Level 36]]&gt;2500,Table1[[#This Row],[Reward Level 36]]&lt;=10000000),Table1[[#This Row],[Backers Level 36]],0))</f>
        <v>36</v>
      </c>
      <c r="DC103"/>
      <c r="DE103"/>
      <c r="DG103"/>
      <c r="DI103"/>
      <c r="DK103"/>
      <c r="DM103"/>
      <c r="DO103"/>
      <c r="DQ103"/>
      <c r="DS103"/>
      <c r="DT103"/>
    </row>
    <row r="104" spans="1:124">
      <c r="A104" t="s">
        <v>23</v>
      </c>
      <c r="B104"/>
      <c r="E104" s="2"/>
      <c r="J104"/>
      <c r="K104" s="36">
        <f>SUBTOTAL(109,Table1[Pledge])</f>
        <v>1867224</v>
      </c>
      <c r="L104"/>
      <c r="M104" s="51">
        <f>SUBTOTAL(109,Table1[Backers])</f>
        <v>35793</v>
      </c>
      <c r="N104" s="47"/>
      <c r="O104" s="2"/>
      <c r="P104" s="2"/>
      <c r="Q104" s="2"/>
      <c r="R104" s="55"/>
      <c r="S104" s="21"/>
      <c r="T104"/>
      <c r="U104"/>
      <c r="V104"/>
      <c r="W104"/>
      <c r="X104"/>
      <c r="Y104"/>
      <c r="Z104"/>
      <c r="AB104"/>
      <c r="AD104"/>
      <c r="AF104"/>
      <c r="AH104"/>
      <c r="AJ104"/>
      <c r="AL104"/>
      <c r="AN104"/>
      <c r="AP104"/>
      <c r="AR104"/>
      <c r="AT104"/>
      <c r="AV104"/>
      <c r="AX104"/>
      <c r="AY104" s="2"/>
      <c r="AZ104" s="2"/>
      <c r="BA104" s="2"/>
      <c r="BB104" s="21"/>
      <c r="BC104"/>
      <c r="CI104" s="29"/>
      <c r="CR104">
        <f>SUBTOTAL(109,Table1[Undisclosed Backers])</f>
        <v>834</v>
      </c>
      <c r="CS104" s="47">
        <f>SUBTOTAL(101,Table1[&gt;$0-$5])</f>
        <v>122.52941176470588</v>
      </c>
      <c r="CT104" s="47">
        <f>SUBTOTAL(101,Table1[&gt;$5-$10])</f>
        <v>10.725490196078431</v>
      </c>
      <c r="CU104" s="47">
        <f>SUBTOTAL(101,Table1[&gt;$10-$25])</f>
        <v>128.14705882352942</v>
      </c>
      <c r="CV104" s="47">
        <f>SUBTOTAL(101,Table1[&gt;$25-$50])</f>
        <v>36.215686274509807</v>
      </c>
      <c r="CW104" s="47">
        <f>SUBTOTAL(101,Table1[&gt;$50-$100])</f>
        <v>14.186274509803921</v>
      </c>
      <c r="CX104" s="47">
        <f>SUBTOTAL(101,Table1[&gt;$100-$250])</f>
        <v>20.617647058823529</v>
      </c>
      <c r="CY104" s="47">
        <f>SUBTOTAL(101,Table1[&gt;$250-$500])</f>
        <v>8.4313725490196081</v>
      </c>
      <c r="CZ104" s="47">
        <f>SUBTOTAL(101,Table1[&gt;$500-$1,000])</f>
        <v>1.392156862745098</v>
      </c>
      <c r="DA104" s="47">
        <f>SUBTOTAL(101,Table1[&gt;$1,000-$2,500])</f>
        <v>5.8823529411764705E-2</v>
      </c>
      <c r="DB104" s="47">
        <f>SUBTOTAL(101,Table1[&gt;$2,501])</f>
        <v>0.43137254901960786</v>
      </c>
    </row>
    <row r="105" spans="1:124">
      <c r="K105" s="14" t="s">
        <v>695</v>
      </c>
      <c r="L105" s="36">
        <f>Table1[[#Totals],[Pledge]]/Table1[[#Totals],[Backers]]</f>
        <v>52.167295281200232</v>
      </c>
    </row>
    <row r="106" spans="1:124">
      <c r="K106" s="47"/>
    </row>
  </sheetData>
  <phoneticPr fontId="10" type="noConversion"/>
  <pageMargins left="0.75" right="0.75" top="1" bottom="1" header="0.5" footer="0.5"/>
  <pageSetup orientation="landscape" horizontalDpi="4294967292" verticalDpi="4294967292"/>
  <tableParts count="1">
    <tablePart r:id="rId1"/>
  </tableParts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8"/>
  <sheetViews>
    <sheetView workbookViewId="0">
      <selection activeCell="F34" sqref="F34"/>
    </sheetView>
  </sheetViews>
  <sheetFormatPr baseColWidth="10" defaultRowHeight="15" x14ac:dyDescent="0"/>
  <cols>
    <col min="1" max="1" width="31.83203125" customWidth="1"/>
    <col min="2" max="2" width="4.1640625" customWidth="1"/>
    <col min="3" max="3" width="8.33203125" customWidth="1"/>
    <col min="4" max="4" width="10.1640625" customWidth="1"/>
    <col min="5" max="5" width="11" customWidth="1"/>
    <col min="6" max="6" width="13" customWidth="1"/>
    <col min="7" max="7" width="13.83203125" customWidth="1"/>
    <col min="8" max="9" width="11.6640625" customWidth="1"/>
    <col min="10" max="10" width="7.33203125" customWidth="1"/>
    <col min="11" max="11" width="8.33203125" customWidth="1"/>
    <col min="12" max="13" width="9.33203125" customWidth="1"/>
    <col min="14" max="14" width="10.33203125" customWidth="1"/>
    <col min="15" max="15" width="11.33203125" customWidth="1"/>
    <col min="16" max="16" width="11.83203125" customWidth="1"/>
    <col min="17" max="17" width="13" customWidth="1"/>
    <col min="18" max="18" width="14.83203125" customWidth="1"/>
    <col min="19" max="19" width="8.1640625" customWidth="1"/>
    <col min="20" max="20" width="11" customWidth="1"/>
    <col min="21" max="27" width="3.1640625" customWidth="1"/>
    <col min="28" max="29" width="4.1640625" customWidth="1"/>
    <col min="30" max="30" width="5.1640625" customWidth="1"/>
    <col min="31" max="31" width="10.83203125" customWidth="1"/>
    <col min="32" max="32" width="21.1640625" customWidth="1"/>
    <col min="33" max="33" width="21" customWidth="1"/>
    <col min="34" max="34" width="21.1640625" customWidth="1"/>
    <col min="35" max="35" width="21" customWidth="1"/>
    <col min="36" max="36" width="21.1640625" customWidth="1"/>
    <col min="37" max="37" width="21" customWidth="1"/>
    <col min="38" max="38" width="21.1640625" customWidth="1"/>
    <col min="39" max="39" width="21" customWidth="1"/>
    <col min="40" max="40" width="21.1640625" customWidth="1"/>
    <col min="41" max="41" width="21" customWidth="1"/>
    <col min="42" max="42" width="21.1640625" customWidth="1"/>
    <col min="43" max="43" width="21" customWidth="1"/>
    <col min="44" max="44" width="21.1640625" customWidth="1"/>
    <col min="45" max="45" width="21" customWidth="1"/>
    <col min="46" max="46" width="21.1640625" bestFit="1" customWidth="1"/>
    <col min="47" max="47" width="21" customWidth="1"/>
    <col min="48" max="48" width="21.1640625" bestFit="1" customWidth="1"/>
    <col min="49" max="49" width="21" customWidth="1"/>
    <col min="50" max="50" width="21.1640625" customWidth="1"/>
    <col min="51" max="51" width="21" bestFit="1" customWidth="1"/>
    <col min="52" max="52" width="21.1640625" customWidth="1"/>
    <col min="53" max="53" width="21" customWidth="1"/>
    <col min="54" max="54" width="21.1640625" customWidth="1"/>
    <col min="55" max="55" width="21" bestFit="1" customWidth="1"/>
    <col min="56" max="56" width="21.1640625" customWidth="1"/>
    <col min="57" max="57" width="21" customWidth="1"/>
    <col min="58" max="58" width="21.1640625" customWidth="1"/>
    <col min="59" max="59" width="21" customWidth="1"/>
    <col min="60" max="61" width="25.6640625" customWidth="1"/>
    <col min="62" max="62" width="18.83203125" bestFit="1" customWidth="1"/>
    <col min="63" max="64" width="35" bestFit="1" customWidth="1"/>
    <col min="65" max="65" width="43" bestFit="1" customWidth="1"/>
    <col min="66" max="66" width="27.5" bestFit="1" customWidth="1"/>
    <col min="67" max="67" width="19.5" bestFit="1" customWidth="1"/>
    <col min="68" max="68" width="34" bestFit="1" customWidth="1"/>
    <col min="69" max="69" width="39.33203125" bestFit="1" customWidth="1"/>
    <col min="70" max="70" width="27" bestFit="1" customWidth="1"/>
    <col min="71" max="71" width="35.33203125" bestFit="1" customWidth="1"/>
    <col min="72" max="73" width="37.1640625" bestFit="1" customWidth="1"/>
    <col min="74" max="74" width="41.1640625" bestFit="1" customWidth="1"/>
    <col min="75" max="75" width="30.1640625" bestFit="1" customWidth="1"/>
    <col min="76" max="76" width="15.1640625" bestFit="1" customWidth="1"/>
    <col min="77" max="77" width="46.6640625" bestFit="1" customWidth="1"/>
    <col min="78" max="78" width="39.6640625" bestFit="1" customWidth="1"/>
    <col min="79" max="79" width="41.6640625" bestFit="1" customWidth="1"/>
    <col min="80" max="80" width="39.83203125" bestFit="1" customWidth="1"/>
    <col min="81" max="81" width="34.1640625" bestFit="1" customWidth="1"/>
    <col min="82" max="82" width="17" bestFit="1" customWidth="1"/>
    <col min="83" max="83" width="46.5" bestFit="1" customWidth="1"/>
    <col min="84" max="84" width="46" bestFit="1" customWidth="1"/>
    <col min="85" max="85" width="21.83203125" bestFit="1" customWidth="1"/>
    <col min="86" max="86" width="48.1640625" bestFit="1" customWidth="1"/>
    <col min="87" max="87" width="37.6640625" bestFit="1" customWidth="1"/>
    <col min="88" max="88" width="17.5" bestFit="1" customWidth="1"/>
    <col min="89" max="89" width="19.5" bestFit="1" customWidth="1"/>
    <col min="90" max="90" width="29" bestFit="1" customWidth="1"/>
    <col min="91" max="91" width="27.5" bestFit="1" customWidth="1"/>
    <col min="92" max="92" width="18.6640625" bestFit="1" customWidth="1"/>
    <col min="93" max="93" width="14.33203125" bestFit="1" customWidth="1"/>
    <col min="94" max="94" width="45.5" bestFit="1" customWidth="1"/>
    <col min="95" max="95" width="41.83203125" bestFit="1" customWidth="1"/>
    <col min="96" max="96" width="18" bestFit="1" customWidth="1"/>
    <col min="97" max="97" width="23.33203125" bestFit="1" customWidth="1"/>
    <col min="98" max="98" width="29.5" bestFit="1" customWidth="1"/>
    <col min="99" max="99" width="52.83203125" bestFit="1" customWidth="1"/>
    <col min="100" max="100" width="53.1640625" bestFit="1" customWidth="1"/>
    <col min="101" max="101" width="17.5" bestFit="1" customWidth="1"/>
    <col min="102" max="102" width="50.5" bestFit="1" customWidth="1"/>
    <col min="103" max="103" width="39.6640625" bestFit="1" customWidth="1"/>
  </cols>
  <sheetData>
    <row r="2" spans="1:20">
      <c r="B2" s="66" t="s">
        <v>696</v>
      </c>
    </row>
    <row r="3" spans="1:20" s="56" customFormat="1" ht="30">
      <c r="A3" s="57" t="s">
        <v>678</v>
      </c>
      <c r="B3" s="56" t="s">
        <v>637</v>
      </c>
      <c r="C3" t="s">
        <v>700</v>
      </c>
      <c r="D3" t="s">
        <v>697</v>
      </c>
      <c r="E3" t="s">
        <v>698</v>
      </c>
      <c r="F3" s="56" t="s">
        <v>699</v>
      </c>
      <c r="G3" s="56" t="s">
        <v>701</v>
      </c>
      <c r="H3" s="56" t="s">
        <v>703</v>
      </c>
      <c r="I3" s="56" t="s">
        <v>704</v>
      </c>
      <c r="J3" t="s">
        <v>627</v>
      </c>
      <c r="K3" t="s">
        <v>628</v>
      </c>
      <c r="L3" t="s">
        <v>629</v>
      </c>
      <c r="M3" t="s">
        <v>630</v>
      </c>
      <c r="N3" t="s">
        <v>631</v>
      </c>
      <c r="O3" t="s">
        <v>632</v>
      </c>
      <c r="P3" t="s">
        <v>705</v>
      </c>
      <c r="Q3" t="s">
        <v>633</v>
      </c>
      <c r="R3" t="s">
        <v>706</v>
      </c>
      <c r="S3" t="s">
        <v>634</v>
      </c>
      <c r="T3" s="56" t="s">
        <v>707</v>
      </c>
    </row>
    <row r="4" spans="1:20">
      <c r="A4" s="50" t="s">
        <v>620</v>
      </c>
      <c r="B4" s="47">
        <v>13</v>
      </c>
      <c r="C4" s="36">
        <v>453.84615384615387</v>
      </c>
      <c r="D4" s="36">
        <v>575.84615384615381</v>
      </c>
      <c r="E4" s="51">
        <v>17</v>
      </c>
      <c r="F4" s="36">
        <v>33.873303167420815</v>
      </c>
      <c r="G4" s="67">
        <v>4.0372670807453416E-2</v>
      </c>
      <c r="H4" s="51">
        <v>5.615384615384615</v>
      </c>
      <c r="I4" s="51">
        <v>4</v>
      </c>
      <c r="J4" s="54">
        <v>9.5022624434389136E-2</v>
      </c>
      <c r="K4" s="54">
        <v>0.14479638009049775</v>
      </c>
      <c r="L4" s="54">
        <v>0.34389140271493213</v>
      </c>
      <c r="M4" s="54">
        <v>0.17194570135746606</v>
      </c>
      <c r="N4" s="54">
        <v>5.4298642533936653E-2</v>
      </c>
      <c r="O4" s="54">
        <v>9.0497737556561094E-3</v>
      </c>
      <c r="P4" s="54">
        <v>0</v>
      </c>
      <c r="Q4" s="54">
        <v>0</v>
      </c>
      <c r="R4" s="54">
        <v>0</v>
      </c>
      <c r="S4" s="54">
        <v>0</v>
      </c>
      <c r="T4" s="54">
        <v>0.18099547511312217</v>
      </c>
    </row>
    <row r="5" spans="1:20">
      <c r="A5" s="58" t="s">
        <v>26</v>
      </c>
      <c r="B5" s="47">
        <v>1</v>
      </c>
      <c r="C5" s="36">
        <v>250</v>
      </c>
      <c r="D5" s="36">
        <v>305</v>
      </c>
      <c r="E5" s="51">
        <v>14</v>
      </c>
      <c r="F5" s="36">
        <v>21.785714285714285</v>
      </c>
      <c r="G5" s="67">
        <v>1.7565872020075281E-2</v>
      </c>
      <c r="H5" s="51">
        <v>4</v>
      </c>
      <c r="I5" s="51">
        <v>3</v>
      </c>
      <c r="J5" s="54">
        <v>0</v>
      </c>
      <c r="K5" s="54">
        <v>0.21428571428571427</v>
      </c>
      <c r="L5" s="54">
        <v>0.2857142857142857</v>
      </c>
      <c r="M5" s="54">
        <v>0.21428571428571427</v>
      </c>
      <c r="N5" s="54">
        <v>0</v>
      </c>
      <c r="O5" s="54">
        <v>0</v>
      </c>
      <c r="P5" s="54">
        <v>0</v>
      </c>
      <c r="Q5" s="54">
        <v>0</v>
      </c>
      <c r="R5" s="54">
        <v>0</v>
      </c>
      <c r="S5" s="54">
        <v>0</v>
      </c>
      <c r="T5" s="54">
        <v>0.2857142857142857</v>
      </c>
    </row>
    <row r="6" spans="1:20">
      <c r="A6" s="58" t="s">
        <v>65</v>
      </c>
      <c r="B6" s="47">
        <v>2</v>
      </c>
      <c r="C6" s="36">
        <v>550</v>
      </c>
      <c r="D6" s="36">
        <v>715</v>
      </c>
      <c r="E6" s="51">
        <v>27.5</v>
      </c>
      <c r="F6" s="36">
        <v>26</v>
      </c>
      <c r="G6" s="67">
        <v>7.8014184397163122E-2</v>
      </c>
      <c r="H6" s="51">
        <v>4.5</v>
      </c>
      <c r="I6" s="51">
        <v>4.5</v>
      </c>
      <c r="J6" s="54">
        <v>0.21818181818181817</v>
      </c>
      <c r="K6" s="54">
        <v>0.21818181818181817</v>
      </c>
      <c r="L6" s="54">
        <v>0.34545454545454546</v>
      </c>
      <c r="M6" s="54">
        <v>0.12727272727272726</v>
      </c>
      <c r="N6" s="54">
        <v>5.4545454545454543E-2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3.6363636363636362E-2</v>
      </c>
    </row>
    <row r="7" spans="1:20">
      <c r="A7" s="58" t="s">
        <v>87</v>
      </c>
      <c r="B7" s="47">
        <v>3</v>
      </c>
      <c r="C7" s="36">
        <v>450</v>
      </c>
      <c r="D7" s="36">
        <v>563.33333333333337</v>
      </c>
      <c r="E7" s="51">
        <v>13.666666666666666</v>
      </c>
      <c r="F7" s="36">
        <v>41.219512195121951</v>
      </c>
      <c r="G7" s="67">
        <v>0.05</v>
      </c>
      <c r="H7" s="51">
        <v>6.333333333333333</v>
      </c>
      <c r="I7" s="51">
        <v>4</v>
      </c>
      <c r="J7" s="54">
        <v>7.3170731707317069E-2</v>
      </c>
      <c r="K7" s="54">
        <v>7.3170731707317069E-2</v>
      </c>
      <c r="L7" s="54">
        <v>0.34146341463414637</v>
      </c>
      <c r="M7" s="54">
        <v>0.26829268292682928</v>
      </c>
      <c r="N7" s="54">
        <v>4.878048780487805E-2</v>
      </c>
      <c r="O7" s="54">
        <v>0</v>
      </c>
      <c r="P7" s="54">
        <v>0</v>
      </c>
      <c r="Q7" s="54">
        <v>0</v>
      </c>
      <c r="R7" s="54">
        <v>0</v>
      </c>
      <c r="S7" s="54">
        <v>0</v>
      </c>
      <c r="T7" s="54">
        <v>0.1951219512195122</v>
      </c>
    </row>
    <row r="8" spans="1:20">
      <c r="A8" s="58" t="s">
        <v>11</v>
      </c>
      <c r="B8" s="47">
        <v>2</v>
      </c>
      <c r="C8" s="36">
        <v>675</v>
      </c>
      <c r="D8" s="36">
        <v>700</v>
      </c>
      <c r="E8" s="51">
        <v>20.5</v>
      </c>
      <c r="F8" s="36">
        <v>34.146341463414636</v>
      </c>
      <c r="G8" s="67">
        <v>0.2303370786516854</v>
      </c>
      <c r="H8" s="51">
        <v>6.5</v>
      </c>
      <c r="I8" s="51">
        <v>5.5</v>
      </c>
      <c r="J8" s="54">
        <v>4.878048780487805E-2</v>
      </c>
      <c r="K8" s="54">
        <v>0.26829268292682928</v>
      </c>
      <c r="L8" s="54">
        <v>0.26829268292682928</v>
      </c>
      <c r="M8" s="54">
        <v>0</v>
      </c>
      <c r="N8" s="54">
        <v>0.12195121951219512</v>
      </c>
      <c r="O8" s="54">
        <v>0</v>
      </c>
      <c r="P8" s="54">
        <v>0</v>
      </c>
      <c r="Q8" s="54">
        <v>0</v>
      </c>
      <c r="R8" s="54">
        <v>0</v>
      </c>
      <c r="S8" s="54">
        <v>0</v>
      </c>
      <c r="T8" s="54">
        <v>0.29268292682926828</v>
      </c>
    </row>
    <row r="9" spans="1:20">
      <c r="A9" s="58" t="s">
        <v>51</v>
      </c>
      <c r="B9" s="47">
        <v>5</v>
      </c>
      <c r="C9" s="36">
        <v>370</v>
      </c>
      <c r="D9" s="36">
        <v>532.20000000000005</v>
      </c>
      <c r="E9" s="51">
        <v>14</v>
      </c>
      <c r="F9" s="36">
        <v>38.014285714285712</v>
      </c>
      <c r="G9" s="67">
        <v>2.3537323470073975E-2</v>
      </c>
      <c r="H9" s="51">
        <v>5.6</v>
      </c>
      <c r="I9" s="51">
        <v>3.4</v>
      </c>
      <c r="J9" s="54">
        <v>5.7142857142857141E-2</v>
      </c>
      <c r="K9" s="54">
        <v>4.2857142857142858E-2</v>
      </c>
      <c r="L9" s="54">
        <v>0.4</v>
      </c>
      <c r="M9" s="54">
        <v>0.24285714285714285</v>
      </c>
      <c r="N9" s="54">
        <v>2.8571428571428571E-2</v>
      </c>
      <c r="O9" s="54">
        <v>2.8571428571428571E-2</v>
      </c>
      <c r="P9" s="54">
        <v>0</v>
      </c>
      <c r="Q9" s="54">
        <v>0</v>
      </c>
      <c r="R9" s="54">
        <v>0</v>
      </c>
      <c r="S9" s="54">
        <v>0</v>
      </c>
      <c r="T9" s="54">
        <v>0.2</v>
      </c>
    </row>
    <row r="10" spans="1:20">
      <c r="A10" s="50" t="s">
        <v>621</v>
      </c>
      <c r="B10" s="47">
        <v>70</v>
      </c>
      <c r="C10" s="36">
        <v>3260.5285714285715</v>
      </c>
      <c r="D10" s="36">
        <v>3813.7142857142858</v>
      </c>
      <c r="E10" s="51">
        <v>68.528571428571425</v>
      </c>
      <c r="F10" s="36">
        <v>55.651448822180527</v>
      </c>
      <c r="G10" s="67">
        <v>8.3546684779769065E-2</v>
      </c>
      <c r="H10" s="51">
        <v>9.1285714285714281</v>
      </c>
      <c r="I10" s="51">
        <v>7.0428571428571427</v>
      </c>
      <c r="J10" s="54">
        <v>5.315822388993121E-2</v>
      </c>
      <c r="K10" s="54">
        <v>0.13633520950594122</v>
      </c>
      <c r="L10" s="54">
        <v>0.3800291849072337</v>
      </c>
      <c r="M10" s="54">
        <v>0.18407337919533043</v>
      </c>
      <c r="N10" s="54">
        <v>9.4017094017094016E-2</v>
      </c>
      <c r="O10" s="54">
        <v>3.1269543464665414E-2</v>
      </c>
      <c r="P10" s="54">
        <v>1.4175526370648322E-2</v>
      </c>
      <c r="Q10" s="54">
        <v>2.5015634771732333E-3</v>
      </c>
      <c r="R10" s="54">
        <v>4.1692724619553888E-4</v>
      </c>
      <c r="S10" s="54">
        <v>0</v>
      </c>
      <c r="T10" s="54">
        <v>0.10402334792578695</v>
      </c>
    </row>
    <row r="11" spans="1:20">
      <c r="A11" s="58" t="s">
        <v>26</v>
      </c>
      <c r="B11" s="47">
        <v>8</v>
      </c>
      <c r="C11" s="36">
        <v>2937.5</v>
      </c>
      <c r="D11" s="36">
        <v>3248.25</v>
      </c>
      <c r="E11" s="51">
        <v>43.25</v>
      </c>
      <c r="F11" s="36">
        <v>75.104046242774572</v>
      </c>
      <c r="G11" s="67">
        <v>8.1068416119962516E-2</v>
      </c>
      <c r="H11" s="51">
        <v>7.375</v>
      </c>
      <c r="I11" s="51">
        <v>6.125</v>
      </c>
      <c r="J11" s="54">
        <v>3.4682080924855488E-2</v>
      </c>
      <c r="K11" s="54">
        <v>0.15028901734104047</v>
      </c>
      <c r="L11" s="54">
        <v>0.22832369942196531</v>
      </c>
      <c r="M11" s="54">
        <v>0.27456647398843931</v>
      </c>
      <c r="N11" s="54">
        <v>8.9595375722543349E-2</v>
      </c>
      <c r="O11" s="54">
        <v>4.9132947976878616E-2</v>
      </c>
      <c r="P11" s="54">
        <v>1.4450867052023121E-2</v>
      </c>
      <c r="Q11" s="54">
        <v>2.8901734104046241E-3</v>
      </c>
      <c r="R11" s="54">
        <v>0</v>
      </c>
      <c r="S11" s="54">
        <v>0</v>
      </c>
      <c r="T11" s="54">
        <v>0.15606936416184972</v>
      </c>
    </row>
    <row r="12" spans="1:20">
      <c r="A12" s="58" t="s">
        <v>65</v>
      </c>
      <c r="B12" s="47">
        <v>7</v>
      </c>
      <c r="C12" s="36">
        <v>3385.7142857142858</v>
      </c>
      <c r="D12" s="36">
        <v>4207.4285714285716</v>
      </c>
      <c r="E12" s="51">
        <v>75.142857142857139</v>
      </c>
      <c r="F12" s="36">
        <v>55.99239543726236</v>
      </c>
      <c r="G12" s="67">
        <v>7.7615464069647339E-2</v>
      </c>
      <c r="H12" s="51">
        <v>11.428571428571429</v>
      </c>
      <c r="I12" s="51">
        <v>9.1428571428571423</v>
      </c>
      <c r="J12" s="54">
        <v>4.1825095057034217E-2</v>
      </c>
      <c r="K12" s="54">
        <v>0.12927756653992395</v>
      </c>
      <c r="L12" s="54">
        <v>0.4144486692015209</v>
      </c>
      <c r="M12" s="54">
        <v>0.16539923954372623</v>
      </c>
      <c r="N12" s="54">
        <v>8.5551330798479083E-2</v>
      </c>
      <c r="O12" s="54">
        <v>4.9429657794676805E-2</v>
      </c>
      <c r="P12" s="54">
        <v>9.5057034220532317E-3</v>
      </c>
      <c r="Q12" s="54">
        <v>9.5057034220532317E-3</v>
      </c>
      <c r="R12" s="54">
        <v>0</v>
      </c>
      <c r="S12" s="54">
        <v>0</v>
      </c>
      <c r="T12" s="54">
        <v>9.5057034220532313E-2</v>
      </c>
    </row>
    <row r="13" spans="1:20">
      <c r="A13" s="58" t="s">
        <v>110</v>
      </c>
      <c r="B13" s="47">
        <v>1</v>
      </c>
      <c r="C13" s="36">
        <v>3250</v>
      </c>
      <c r="D13" s="36">
        <v>4434</v>
      </c>
      <c r="E13" s="51">
        <v>108</v>
      </c>
      <c r="F13" s="36">
        <v>41.055555555555557</v>
      </c>
      <c r="G13" s="68" t="e">
        <v>#DIV/0!</v>
      </c>
      <c r="H13" s="51">
        <v>8</v>
      </c>
      <c r="I13" s="51">
        <v>8</v>
      </c>
      <c r="J13" s="54">
        <v>0</v>
      </c>
      <c r="K13" s="54">
        <v>6.4814814814814811E-2</v>
      </c>
      <c r="L13" s="54">
        <v>0.56481481481481477</v>
      </c>
      <c r="M13" s="54">
        <v>0.24074074074074073</v>
      </c>
      <c r="N13" s="54">
        <v>7.407407407407407E-2</v>
      </c>
      <c r="O13" s="54">
        <v>1.8518518518518517E-2</v>
      </c>
      <c r="P13" s="54">
        <v>1.8518518518518517E-2</v>
      </c>
      <c r="Q13" s="54">
        <v>0</v>
      </c>
      <c r="R13" s="54">
        <v>0</v>
      </c>
      <c r="S13" s="54">
        <v>0</v>
      </c>
      <c r="T13" s="54">
        <v>1.8518518518518517E-2</v>
      </c>
    </row>
    <row r="14" spans="1:20">
      <c r="A14" s="58" t="s">
        <v>60</v>
      </c>
      <c r="B14" s="47">
        <v>3</v>
      </c>
      <c r="C14" s="36">
        <v>2166.6666666666665</v>
      </c>
      <c r="D14" s="36">
        <v>2466.6666666666665</v>
      </c>
      <c r="E14" s="51">
        <v>53</v>
      </c>
      <c r="F14" s="36">
        <v>46.540880503144656</v>
      </c>
      <c r="G14" s="67">
        <v>2.9937864808887216E-2</v>
      </c>
      <c r="H14" s="51">
        <v>5</v>
      </c>
      <c r="I14" s="51">
        <v>4</v>
      </c>
      <c r="J14" s="54">
        <v>2.5157232704402517E-2</v>
      </c>
      <c r="K14" s="54">
        <v>0.20125786163522014</v>
      </c>
      <c r="L14" s="54">
        <v>0.23270440251572327</v>
      </c>
      <c r="M14" s="54">
        <v>0.16352201257861634</v>
      </c>
      <c r="N14" s="54">
        <v>0.14465408805031446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0.23270440251572327</v>
      </c>
    </row>
    <row r="15" spans="1:20">
      <c r="A15" s="58" t="s">
        <v>87</v>
      </c>
      <c r="B15" s="47">
        <v>12</v>
      </c>
      <c r="C15" s="36">
        <v>3541.6666666666665</v>
      </c>
      <c r="D15" s="36">
        <v>4144.5</v>
      </c>
      <c r="E15" s="51">
        <v>86</v>
      </c>
      <c r="F15" s="36">
        <v>48.191860465116278</v>
      </c>
      <c r="G15" s="67">
        <v>0.11464119084647856</v>
      </c>
      <c r="H15" s="51">
        <v>10.333333333333334</v>
      </c>
      <c r="I15" s="51">
        <v>7.75</v>
      </c>
      <c r="J15" s="54">
        <v>7.0736434108527133E-2</v>
      </c>
      <c r="K15" s="54">
        <v>0.19961240310077519</v>
      </c>
      <c r="L15" s="54">
        <v>0.31492248062015504</v>
      </c>
      <c r="M15" s="54">
        <v>0.20155038759689922</v>
      </c>
      <c r="N15" s="54">
        <v>9.3023255813953487E-2</v>
      </c>
      <c r="O15" s="54">
        <v>1.937984496124031E-2</v>
      </c>
      <c r="P15" s="54">
        <v>1.7441860465116279E-2</v>
      </c>
      <c r="Q15" s="54">
        <v>9.6899224806201549E-4</v>
      </c>
      <c r="R15" s="54">
        <v>0</v>
      </c>
      <c r="S15" s="54">
        <v>0</v>
      </c>
      <c r="T15" s="54">
        <v>8.2364341085271311E-2</v>
      </c>
    </row>
    <row r="16" spans="1:20">
      <c r="A16" s="58" t="s">
        <v>190</v>
      </c>
      <c r="B16" s="47">
        <v>2</v>
      </c>
      <c r="C16" s="36">
        <v>2800</v>
      </c>
      <c r="D16" s="36">
        <v>3326.5</v>
      </c>
      <c r="E16" s="51">
        <v>58</v>
      </c>
      <c r="F16" s="36">
        <v>57.353448275862071</v>
      </c>
      <c r="G16" s="67">
        <v>4.619673436877738E-2</v>
      </c>
      <c r="H16" s="51">
        <v>8</v>
      </c>
      <c r="I16" s="51">
        <v>6.5</v>
      </c>
      <c r="J16" s="54">
        <v>2.5862068965517241E-2</v>
      </c>
      <c r="K16" s="54">
        <v>0.25</v>
      </c>
      <c r="L16" s="54">
        <v>0.22413793103448276</v>
      </c>
      <c r="M16" s="54">
        <v>0.15517241379310345</v>
      </c>
      <c r="N16" s="54">
        <v>0.10344827586206896</v>
      </c>
      <c r="O16" s="54">
        <v>1.7241379310344827E-2</v>
      </c>
      <c r="P16" s="54">
        <v>2.5862068965517241E-2</v>
      </c>
      <c r="Q16" s="54">
        <v>8.6206896551724137E-3</v>
      </c>
      <c r="R16" s="54">
        <v>0</v>
      </c>
      <c r="S16" s="54">
        <v>0</v>
      </c>
      <c r="T16" s="54">
        <v>0.18965517241379309</v>
      </c>
    </row>
    <row r="17" spans="1:20">
      <c r="A17" s="58" t="s">
        <v>11</v>
      </c>
      <c r="B17" s="47">
        <v>18</v>
      </c>
      <c r="C17" s="36">
        <v>3981.4444444444443</v>
      </c>
      <c r="D17" s="36">
        <v>4554.1111111111113</v>
      </c>
      <c r="E17" s="51">
        <v>74.444444444444443</v>
      </c>
      <c r="F17" s="36">
        <v>61.174626865671641</v>
      </c>
      <c r="G17" s="67">
        <v>9.5244864595920103E-2</v>
      </c>
      <c r="H17" s="51">
        <v>9.3333333333333339</v>
      </c>
      <c r="I17" s="51">
        <v>7.1111111111111107</v>
      </c>
      <c r="J17" s="54">
        <v>2.7611940298507463E-2</v>
      </c>
      <c r="K17" s="54">
        <v>0.11641791044776119</v>
      </c>
      <c r="L17" s="54">
        <v>0.47462686567164181</v>
      </c>
      <c r="M17" s="54">
        <v>0.12313432835820895</v>
      </c>
      <c r="N17" s="54">
        <v>9.4776119402985068E-2</v>
      </c>
      <c r="O17" s="54">
        <v>3.3582089552238806E-2</v>
      </c>
      <c r="P17" s="54">
        <v>1.0447761194029851E-2</v>
      </c>
      <c r="Q17" s="54">
        <v>2.9850746268656717E-3</v>
      </c>
      <c r="R17" s="54">
        <v>1.4925373134328358E-3</v>
      </c>
      <c r="S17" s="54">
        <v>0</v>
      </c>
      <c r="T17" s="54">
        <v>0.11492537313432835</v>
      </c>
    </row>
    <row r="18" spans="1:20">
      <c r="A18" s="58" t="s">
        <v>74</v>
      </c>
      <c r="B18" s="47">
        <v>3</v>
      </c>
      <c r="C18" s="36">
        <v>2183.3333333333335</v>
      </c>
      <c r="D18" s="36">
        <v>3541</v>
      </c>
      <c r="E18" s="51">
        <v>96</v>
      </c>
      <c r="F18" s="36">
        <v>36.885416666666664</v>
      </c>
      <c r="G18" s="67">
        <v>0.13591316658801322</v>
      </c>
      <c r="H18" s="51">
        <v>9</v>
      </c>
      <c r="I18" s="51">
        <v>7.333333333333333</v>
      </c>
      <c r="J18" s="54">
        <v>0.25</v>
      </c>
      <c r="K18" s="54">
        <v>0.1736111111111111</v>
      </c>
      <c r="L18" s="54">
        <v>0.2951388888888889</v>
      </c>
      <c r="M18" s="54">
        <v>0.15277777777777779</v>
      </c>
      <c r="N18" s="54">
        <v>6.25E-2</v>
      </c>
      <c r="O18" s="54">
        <v>2.0833333333333332E-2</v>
      </c>
      <c r="P18" s="54">
        <v>6.9444444444444441E-3</v>
      </c>
      <c r="Q18" s="54">
        <v>0</v>
      </c>
      <c r="R18" s="54">
        <v>0</v>
      </c>
      <c r="S18" s="54">
        <v>0</v>
      </c>
      <c r="T18" s="54">
        <v>3.8194444444444448E-2</v>
      </c>
    </row>
    <row r="19" spans="1:20">
      <c r="A19" s="58" t="s">
        <v>51</v>
      </c>
      <c r="B19" s="47">
        <v>11</v>
      </c>
      <c r="C19" s="36">
        <v>2479.181818181818</v>
      </c>
      <c r="D19" s="36">
        <v>2730.5454545454545</v>
      </c>
      <c r="E19" s="51">
        <v>40.454545454545453</v>
      </c>
      <c r="F19" s="36">
        <v>67.496629213483146</v>
      </c>
      <c r="G19" s="67">
        <v>9.0557590557590564E-2</v>
      </c>
      <c r="H19" s="51">
        <v>9.1818181818181817</v>
      </c>
      <c r="I19" s="51">
        <v>6.4545454545454541</v>
      </c>
      <c r="J19" s="54">
        <v>4.9438202247191011E-2</v>
      </c>
      <c r="K19" s="54">
        <v>4.9438202247191011E-2</v>
      </c>
      <c r="L19" s="54">
        <v>0.36629213483146067</v>
      </c>
      <c r="M19" s="54">
        <v>0.18876404494382024</v>
      </c>
      <c r="N19" s="54">
        <v>0.11685393258426967</v>
      </c>
      <c r="O19" s="54">
        <v>5.8426966292134834E-2</v>
      </c>
      <c r="P19" s="54">
        <v>1.7977528089887642E-2</v>
      </c>
      <c r="Q19" s="54">
        <v>0</v>
      </c>
      <c r="R19" s="54">
        <v>0</v>
      </c>
      <c r="S19" s="54">
        <v>0</v>
      </c>
      <c r="T19" s="54">
        <v>0.15280898876404495</v>
      </c>
    </row>
    <row r="20" spans="1:20">
      <c r="A20" s="58" t="s">
        <v>269</v>
      </c>
      <c r="B20" s="47">
        <v>5</v>
      </c>
      <c r="C20" s="36">
        <v>3540</v>
      </c>
      <c r="D20" s="36">
        <v>4133.6000000000004</v>
      </c>
      <c r="E20" s="51">
        <v>87.4</v>
      </c>
      <c r="F20" s="36">
        <v>47.295194508009153</v>
      </c>
      <c r="G20" s="67">
        <v>5.174046886099929E-2</v>
      </c>
      <c r="H20" s="51">
        <v>8.1999999999999993</v>
      </c>
      <c r="I20" s="51">
        <v>6.6</v>
      </c>
      <c r="J20" s="54">
        <v>2.2883295194508008E-2</v>
      </c>
      <c r="K20" s="54">
        <v>7.3226544622425629E-2</v>
      </c>
      <c r="L20" s="54">
        <v>0.4416475972540046</v>
      </c>
      <c r="M20" s="54">
        <v>0.2974828375286041</v>
      </c>
      <c r="N20" s="54">
        <v>8.924485125858124E-2</v>
      </c>
      <c r="O20" s="54">
        <v>1.3729977116704805E-2</v>
      </c>
      <c r="P20" s="54">
        <v>2.5171624713958809E-2</v>
      </c>
      <c r="Q20" s="54">
        <v>0</v>
      </c>
      <c r="R20" s="54">
        <v>0</v>
      </c>
      <c r="S20" s="54">
        <v>0</v>
      </c>
      <c r="T20" s="54">
        <v>3.6613272311212815E-2</v>
      </c>
    </row>
    <row r="21" spans="1:20">
      <c r="A21" s="50" t="s">
        <v>622</v>
      </c>
      <c r="B21" s="47">
        <v>12</v>
      </c>
      <c r="C21" s="36">
        <v>9522.5833333333339</v>
      </c>
      <c r="D21" s="36">
        <v>13546.75</v>
      </c>
      <c r="E21" s="51">
        <v>195.58333333333334</v>
      </c>
      <c r="F21" s="36">
        <v>69.263314870046869</v>
      </c>
      <c r="G21" s="67">
        <v>0.14067369935267321</v>
      </c>
      <c r="H21" s="51">
        <v>14.75</v>
      </c>
      <c r="I21" s="51">
        <v>11.083333333333334</v>
      </c>
      <c r="J21" s="54">
        <v>0.15210907541542396</v>
      </c>
      <c r="K21" s="54">
        <v>8.7771623348956121E-2</v>
      </c>
      <c r="L21" s="54">
        <v>0.33574776310183213</v>
      </c>
      <c r="M21" s="54">
        <v>0.18193438432040904</v>
      </c>
      <c r="N21" s="54">
        <v>0.11077971878994461</v>
      </c>
      <c r="O21" s="54">
        <v>3.7068598210481467E-2</v>
      </c>
      <c r="P21" s="54">
        <v>1.3208351086493396E-2</v>
      </c>
      <c r="Q21" s="54">
        <v>5.9650617809970177E-3</v>
      </c>
      <c r="R21" s="54">
        <v>1.2782275244993609E-3</v>
      </c>
      <c r="S21" s="54">
        <v>8.5215168299957388E-4</v>
      </c>
      <c r="T21" s="54">
        <v>7.3285044737963351E-2</v>
      </c>
    </row>
    <row r="22" spans="1:20">
      <c r="A22" s="58" t="s">
        <v>65</v>
      </c>
      <c r="B22" s="47">
        <v>3</v>
      </c>
      <c r="C22" s="36">
        <v>9333.3333333333339</v>
      </c>
      <c r="D22" s="36">
        <v>12431.666666666666</v>
      </c>
      <c r="E22" s="51">
        <v>124</v>
      </c>
      <c r="F22" s="36">
        <v>100.25537634408602</v>
      </c>
      <c r="G22" s="67">
        <v>9.735671290238157E-2</v>
      </c>
      <c r="H22" s="51">
        <v>9.3333333333333339</v>
      </c>
      <c r="I22" s="51">
        <v>7.666666666666667</v>
      </c>
      <c r="J22" s="54">
        <v>2.6881720430107529E-3</v>
      </c>
      <c r="K22" s="54">
        <v>0.19623655913978494</v>
      </c>
      <c r="L22" s="54">
        <v>0.29032258064516131</v>
      </c>
      <c r="M22" s="54">
        <v>0.25268817204301075</v>
      </c>
      <c r="N22" s="54">
        <v>8.8709677419354843E-2</v>
      </c>
      <c r="O22" s="54">
        <v>1.8817204301075269E-2</v>
      </c>
      <c r="P22" s="54">
        <v>4.0322580645161289E-2</v>
      </c>
      <c r="Q22" s="54">
        <v>2.6881720430107529E-3</v>
      </c>
      <c r="R22" s="54">
        <v>0</v>
      </c>
      <c r="S22" s="54">
        <v>0</v>
      </c>
      <c r="T22" s="54">
        <v>0.10752688172043011</v>
      </c>
    </row>
    <row r="23" spans="1:20">
      <c r="A23" s="58" t="s">
        <v>87</v>
      </c>
      <c r="B23" s="47">
        <v>1</v>
      </c>
      <c r="C23" s="36">
        <v>6500</v>
      </c>
      <c r="D23" s="36">
        <v>17935</v>
      </c>
      <c r="E23" s="51">
        <v>106</v>
      </c>
      <c r="F23" s="36">
        <v>169.19811320754718</v>
      </c>
      <c r="G23" s="67">
        <v>3.8756855575868374E-2</v>
      </c>
      <c r="H23" s="51">
        <v>25</v>
      </c>
      <c r="I23" s="51">
        <v>14</v>
      </c>
      <c r="J23" s="54">
        <v>0</v>
      </c>
      <c r="K23" s="54">
        <v>0</v>
      </c>
      <c r="L23" s="54">
        <v>0.44339622641509435</v>
      </c>
      <c r="M23" s="54">
        <v>6.6037735849056603E-2</v>
      </c>
      <c r="N23" s="54">
        <v>0.15094339622641509</v>
      </c>
      <c r="O23" s="54">
        <v>0.16981132075471697</v>
      </c>
      <c r="P23" s="54">
        <v>4.716981132075472E-2</v>
      </c>
      <c r="Q23" s="54">
        <v>9.433962264150943E-3</v>
      </c>
      <c r="R23" s="54">
        <v>0</v>
      </c>
      <c r="S23" s="54">
        <v>0</v>
      </c>
      <c r="T23" s="54">
        <v>0.11320754716981132</v>
      </c>
    </row>
    <row r="24" spans="1:20">
      <c r="A24" s="58" t="s">
        <v>190</v>
      </c>
      <c r="B24" s="47">
        <v>1</v>
      </c>
      <c r="C24" s="36">
        <v>10000</v>
      </c>
      <c r="D24" s="36">
        <v>10647</v>
      </c>
      <c r="E24" s="51">
        <v>155</v>
      </c>
      <c r="F24" s="36">
        <v>68.690322580645159</v>
      </c>
      <c r="G24" s="67">
        <v>0.70135746606334837</v>
      </c>
      <c r="H24" s="51">
        <v>12</v>
      </c>
      <c r="I24" s="51">
        <v>7</v>
      </c>
      <c r="J24" s="54">
        <v>0</v>
      </c>
      <c r="K24" s="54">
        <v>0.19354838709677419</v>
      </c>
      <c r="L24" s="54">
        <v>0.44516129032258067</v>
      </c>
      <c r="M24" s="54">
        <v>0.16129032258064516</v>
      </c>
      <c r="N24" s="54">
        <v>0.10967741935483871</v>
      </c>
      <c r="O24" s="54">
        <v>0</v>
      </c>
      <c r="P24" s="54">
        <v>6.4516129032258064E-3</v>
      </c>
      <c r="Q24" s="54">
        <v>6.4516129032258064E-3</v>
      </c>
      <c r="R24" s="54">
        <v>0</v>
      </c>
      <c r="S24" s="54">
        <v>0</v>
      </c>
      <c r="T24" s="54">
        <v>7.7419354838709681E-2</v>
      </c>
    </row>
    <row r="25" spans="1:20">
      <c r="A25" s="58" t="s">
        <v>11</v>
      </c>
      <c r="B25" s="47">
        <v>3</v>
      </c>
      <c r="C25" s="36">
        <v>11257</v>
      </c>
      <c r="D25" s="36">
        <v>13227.333333333334</v>
      </c>
      <c r="E25" s="51">
        <v>143.66666666666666</v>
      </c>
      <c r="F25" s="36">
        <v>92.069605568445482</v>
      </c>
      <c r="G25" s="67">
        <v>0.18690372940156114</v>
      </c>
      <c r="H25" s="51">
        <v>11.666666666666666</v>
      </c>
      <c r="I25" s="51">
        <v>9.3333333333333339</v>
      </c>
      <c r="J25" s="54">
        <v>3.248259860788863E-2</v>
      </c>
      <c r="K25" s="54">
        <v>0.1716937354988399</v>
      </c>
      <c r="L25" s="54">
        <v>0.26682134570765659</v>
      </c>
      <c r="M25" s="54">
        <v>0.16241299303944315</v>
      </c>
      <c r="N25" s="54">
        <v>0.12993039443155452</v>
      </c>
      <c r="O25" s="54">
        <v>2.3201856148491878E-2</v>
      </c>
      <c r="P25" s="54">
        <v>1.1600928074245939E-2</v>
      </c>
      <c r="Q25" s="54">
        <v>1.6241299303944315E-2</v>
      </c>
      <c r="R25" s="54">
        <v>0</v>
      </c>
      <c r="S25" s="54">
        <v>2.3201856148491878E-3</v>
      </c>
      <c r="T25" s="54">
        <v>0.18329466357308585</v>
      </c>
    </row>
    <row r="26" spans="1:20">
      <c r="A26" s="58" t="s">
        <v>74</v>
      </c>
      <c r="B26" s="47">
        <v>1</v>
      </c>
      <c r="C26" s="36">
        <v>6000</v>
      </c>
      <c r="D26" s="36">
        <v>14804</v>
      </c>
      <c r="E26" s="51">
        <v>668</v>
      </c>
      <c r="F26" s="36">
        <v>22.161676646706585</v>
      </c>
      <c r="G26" s="67">
        <v>0.23554301833568406</v>
      </c>
      <c r="H26" s="51">
        <v>14</v>
      </c>
      <c r="I26" s="51">
        <v>13</v>
      </c>
      <c r="J26" s="54">
        <v>0.43862275449101795</v>
      </c>
      <c r="K26" s="54">
        <v>0</v>
      </c>
      <c r="L26" s="54">
        <v>0.41017964071856289</v>
      </c>
      <c r="M26" s="54">
        <v>6.1377245508982034E-2</v>
      </c>
      <c r="N26" s="54">
        <v>6.4371257485029934E-2</v>
      </c>
      <c r="O26" s="54">
        <v>1.7964071856287425E-2</v>
      </c>
      <c r="P26" s="54">
        <v>0</v>
      </c>
      <c r="Q26" s="54">
        <v>1.4970059880239522E-3</v>
      </c>
      <c r="R26" s="54">
        <v>0</v>
      </c>
      <c r="S26" s="54">
        <v>0</v>
      </c>
      <c r="T26" s="54">
        <v>5.9880239520958087E-3</v>
      </c>
    </row>
    <row r="27" spans="1:20">
      <c r="A27" s="58" t="s">
        <v>51</v>
      </c>
      <c r="B27" s="47">
        <v>3</v>
      </c>
      <c r="C27" s="36">
        <v>10000</v>
      </c>
      <c r="D27" s="36">
        <v>14066</v>
      </c>
      <c r="E27" s="51">
        <v>205</v>
      </c>
      <c r="F27" s="36">
        <v>68.614634146341459</v>
      </c>
      <c r="G27" s="67">
        <v>0.12906610703043023</v>
      </c>
      <c r="H27" s="51">
        <v>21</v>
      </c>
      <c r="I27" s="51">
        <v>16</v>
      </c>
      <c r="J27" s="54">
        <v>7.9674796747967486E-2</v>
      </c>
      <c r="K27" s="54">
        <v>4.715447154471545E-2</v>
      </c>
      <c r="L27" s="54">
        <v>0.28455284552845528</v>
      </c>
      <c r="M27" s="54">
        <v>0.30894308943089432</v>
      </c>
      <c r="N27" s="54">
        <v>0.15447154471544716</v>
      </c>
      <c r="O27" s="54">
        <v>6.5040650406504072E-2</v>
      </c>
      <c r="P27" s="54">
        <v>8.130081300813009E-3</v>
      </c>
      <c r="Q27" s="54">
        <v>4.8780487804878049E-3</v>
      </c>
      <c r="R27" s="54">
        <v>4.8780487804878049E-3</v>
      </c>
      <c r="S27" s="54">
        <v>1.6260162601626016E-3</v>
      </c>
      <c r="T27" s="54">
        <v>4.065040650406504E-2</v>
      </c>
    </row>
    <row r="28" spans="1:20">
      <c r="A28" s="50" t="s">
        <v>623</v>
      </c>
      <c r="B28" s="47">
        <v>5</v>
      </c>
      <c r="C28" s="36">
        <v>17900</v>
      </c>
      <c r="D28" s="36">
        <v>22973.8</v>
      </c>
      <c r="E28" s="51">
        <v>321.39999999999998</v>
      </c>
      <c r="F28" s="36">
        <v>71.480398257622895</v>
      </c>
      <c r="G28" s="67">
        <v>0.42569536423841059</v>
      </c>
      <c r="H28" s="51">
        <v>16.399999999999999</v>
      </c>
      <c r="I28" s="51">
        <v>12.4</v>
      </c>
      <c r="J28" s="54">
        <v>1.0578718108276292E-2</v>
      </c>
      <c r="K28" s="54">
        <v>0.12570006222775357</v>
      </c>
      <c r="L28" s="54">
        <v>0.39514623522090853</v>
      </c>
      <c r="M28" s="54">
        <v>0.30242688238954574</v>
      </c>
      <c r="N28" s="54">
        <v>6.7828251400124454E-2</v>
      </c>
      <c r="O28" s="54">
        <v>2.924704418170504E-2</v>
      </c>
      <c r="P28" s="54">
        <v>8.0896079651524583E-3</v>
      </c>
      <c r="Q28" s="54">
        <v>3.7336652146857498E-3</v>
      </c>
      <c r="R28" s="54">
        <v>6.222775357809583E-4</v>
      </c>
      <c r="S28" s="54">
        <v>1.2445550715619166E-3</v>
      </c>
      <c r="T28" s="54">
        <v>5.5382700684505293E-2</v>
      </c>
    </row>
    <row r="29" spans="1:20">
      <c r="A29" s="58" t="s">
        <v>65</v>
      </c>
      <c r="B29" s="47">
        <v>1</v>
      </c>
      <c r="C29" s="36">
        <v>15000</v>
      </c>
      <c r="D29" s="36">
        <v>21611</v>
      </c>
      <c r="E29" s="51">
        <v>515</v>
      </c>
      <c r="F29" s="36">
        <v>41.963106796116506</v>
      </c>
      <c r="G29" s="68" t="e">
        <v>#DIV/0!</v>
      </c>
      <c r="H29" s="51">
        <v>11</v>
      </c>
      <c r="I29" s="51">
        <v>8</v>
      </c>
      <c r="J29" s="54">
        <v>1.9417475728155339E-3</v>
      </c>
      <c r="K29" s="54">
        <v>0.22524271844660193</v>
      </c>
      <c r="L29" s="54">
        <v>0.35145631067961164</v>
      </c>
      <c r="M29" s="54">
        <v>0.30485436893203882</v>
      </c>
      <c r="N29" s="54">
        <v>6.2135922330097085E-2</v>
      </c>
      <c r="O29" s="54">
        <v>3.6893203883495145E-2</v>
      </c>
      <c r="P29" s="54">
        <v>0</v>
      </c>
      <c r="Q29" s="54">
        <v>0</v>
      </c>
      <c r="R29" s="54">
        <v>0</v>
      </c>
      <c r="S29" s="54">
        <v>0</v>
      </c>
      <c r="T29" s="54">
        <v>1.7475728155339806E-2</v>
      </c>
    </row>
    <row r="30" spans="1:20">
      <c r="A30" s="58" t="s">
        <v>87</v>
      </c>
      <c r="B30" s="47">
        <v>2</v>
      </c>
      <c r="C30" s="36">
        <v>22500</v>
      </c>
      <c r="D30" s="36">
        <v>23765</v>
      </c>
      <c r="E30" s="51">
        <v>77.5</v>
      </c>
      <c r="F30" s="36">
        <v>306.64516129032256</v>
      </c>
      <c r="G30" s="67">
        <v>0.10861948142957253</v>
      </c>
      <c r="H30" s="51">
        <v>11.5</v>
      </c>
      <c r="I30" s="51">
        <v>8.5</v>
      </c>
      <c r="J30" s="54">
        <v>6.4516129032258063E-2</v>
      </c>
      <c r="K30" s="54">
        <v>3.2258064516129031E-2</v>
      </c>
      <c r="L30" s="54">
        <v>0.2</v>
      </c>
      <c r="M30" s="54">
        <v>0.23225806451612904</v>
      </c>
      <c r="N30" s="54">
        <v>9.6774193548387094E-2</v>
      </c>
      <c r="O30" s="54">
        <v>5.1612903225806452E-2</v>
      </c>
      <c r="P30" s="54">
        <v>1.2903225806451613E-2</v>
      </c>
      <c r="Q30" s="54">
        <v>1.2903225806451613E-2</v>
      </c>
      <c r="R30" s="54">
        <v>0</v>
      </c>
      <c r="S30" s="54">
        <v>6.4516129032258064E-3</v>
      </c>
      <c r="T30" s="54">
        <v>0.29032258064516131</v>
      </c>
    </row>
    <row r="31" spans="1:20">
      <c r="A31" s="58" t="s">
        <v>11</v>
      </c>
      <c r="B31" s="47">
        <v>1</v>
      </c>
      <c r="C31" s="36">
        <v>10000</v>
      </c>
      <c r="D31" s="36">
        <v>21090</v>
      </c>
      <c r="E31" s="51">
        <v>575</v>
      </c>
      <c r="F31" s="36">
        <v>36.678260869565214</v>
      </c>
      <c r="G31" s="67">
        <v>0.62229437229437234</v>
      </c>
      <c r="H31" s="51">
        <v>19</v>
      </c>
      <c r="I31" s="51">
        <v>14</v>
      </c>
      <c r="J31" s="54">
        <v>1.0434782608695653E-2</v>
      </c>
      <c r="K31" s="54">
        <v>0</v>
      </c>
      <c r="L31" s="54">
        <v>0.44347826086956521</v>
      </c>
      <c r="M31" s="54">
        <v>0.44521739130434784</v>
      </c>
      <c r="N31" s="54">
        <v>4.5217391304347827E-2</v>
      </c>
      <c r="O31" s="54">
        <v>2.4347826086956521E-2</v>
      </c>
      <c r="P31" s="54">
        <v>8.6956521739130436E-3</v>
      </c>
      <c r="Q31" s="54">
        <v>0</v>
      </c>
      <c r="R31" s="54">
        <v>0</v>
      </c>
      <c r="S31" s="54">
        <v>0</v>
      </c>
      <c r="T31" s="54">
        <v>2.2608695652173914E-2</v>
      </c>
    </row>
    <row r="32" spans="1:20">
      <c r="A32" s="58" t="s">
        <v>74</v>
      </c>
      <c r="B32" s="47">
        <v>1</v>
      </c>
      <c r="C32" s="36">
        <v>19500</v>
      </c>
      <c r="D32" s="36">
        <v>24638</v>
      </c>
      <c r="E32" s="51">
        <v>362</v>
      </c>
      <c r="F32" s="36">
        <v>68.060773480662988</v>
      </c>
      <c r="G32" s="67">
        <v>0.2542134831460674</v>
      </c>
      <c r="H32" s="51">
        <v>29</v>
      </c>
      <c r="I32" s="51">
        <v>23</v>
      </c>
      <c r="J32" s="54">
        <v>0</v>
      </c>
      <c r="K32" s="54">
        <v>0.22375690607734808</v>
      </c>
      <c r="L32" s="54">
        <v>0.46408839779005523</v>
      </c>
      <c r="M32" s="54">
        <v>0.10220994475138122</v>
      </c>
      <c r="N32" s="54">
        <v>9.9447513812154692E-2</v>
      </c>
      <c r="O32" s="54">
        <v>1.6574585635359115E-2</v>
      </c>
      <c r="P32" s="54">
        <v>1.6574585635359115E-2</v>
      </c>
      <c r="Q32" s="54">
        <v>1.1049723756906077E-2</v>
      </c>
      <c r="R32" s="54">
        <v>2.7624309392265192E-3</v>
      </c>
      <c r="S32" s="54">
        <v>2.7624309392265192E-3</v>
      </c>
      <c r="T32" s="54">
        <v>6.0773480662983423E-2</v>
      </c>
    </row>
    <row r="33" spans="1:20">
      <c r="A33" s="50" t="s">
        <v>598</v>
      </c>
      <c r="B33" s="47">
        <v>100</v>
      </c>
      <c r="C33" s="36">
        <v>4379.08</v>
      </c>
      <c r="D33" s="36">
        <v>5518.76</v>
      </c>
      <c r="E33" s="51">
        <v>89.72</v>
      </c>
      <c r="F33" s="36">
        <v>61.510922871154705</v>
      </c>
      <c r="G33" s="67">
        <v>0.10764247150569886</v>
      </c>
      <c r="H33" s="51">
        <v>9.7100000000000009</v>
      </c>
      <c r="I33" s="51">
        <v>7.4</v>
      </c>
      <c r="J33" s="54">
        <v>7.2447614801604998E-2</v>
      </c>
      <c r="K33" s="54">
        <v>0.12193490860454748</v>
      </c>
      <c r="L33" s="54">
        <v>0.37026304057066428</v>
      </c>
      <c r="M33" s="54">
        <v>0.20441373160945162</v>
      </c>
      <c r="N33" s="54">
        <v>9.2732946946054398E-2</v>
      </c>
      <c r="O33" s="54">
        <v>3.1876950512706198E-2</v>
      </c>
      <c r="P33" s="54">
        <v>1.2483281319661168E-2</v>
      </c>
      <c r="Q33" s="54">
        <v>3.5666518056174765E-3</v>
      </c>
      <c r="R33" s="54">
        <v>6.6874721355327687E-4</v>
      </c>
      <c r="S33" s="54">
        <v>4.4583147570218456E-4</v>
      </c>
      <c r="T33" s="54">
        <v>8.9166295140436919E-2</v>
      </c>
    </row>
    <row r="39" spans="1:20">
      <c r="A39" s="1" t="s">
        <v>679</v>
      </c>
    </row>
    <row r="40" spans="1:20">
      <c r="A40" t="s">
        <v>678</v>
      </c>
      <c r="B40" t="s">
        <v>680</v>
      </c>
    </row>
    <row r="41" spans="1:20">
      <c r="A41" t="s">
        <v>637</v>
      </c>
      <c r="B41" t="s">
        <v>681</v>
      </c>
    </row>
    <row r="42" spans="1:20">
      <c r="A42" t="s">
        <v>2</v>
      </c>
      <c r="B42" t="s">
        <v>682</v>
      </c>
    </row>
    <row r="43" spans="1:20">
      <c r="A43" t="s">
        <v>3</v>
      </c>
      <c r="B43" t="s">
        <v>683</v>
      </c>
    </row>
    <row r="44" spans="1:20">
      <c r="A44" t="s">
        <v>684</v>
      </c>
      <c r="B44" t="s">
        <v>685</v>
      </c>
    </row>
    <row r="45" spans="1:20">
      <c r="A45" t="s">
        <v>603</v>
      </c>
      <c r="B45" t="s">
        <v>686</v>
      </c>
    </row>
    <row r="46" spans="1:20">
      <c r="A46" t="s">
        <v>635</v>
      </c>
      <c r="B46" t="s">
        <v>687</v>
      </c>
    </row>
    <row r="47" spans="1:20">
      <c r="A47" t="s">
        <v>636</v>
      </c>
      <c r="B47" t="s">
        <v>688</v>
      </c>
    </row>
    <row r="48" spans="1:20">
      <c r="A48" t="s">
        <v>689</v>
      </c>
      <c r="B48" t="s">
        <v>708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="150" zoomScaleNormal="150" zoomScalePageLayoutView="150" workbookViewId="0">
      <selection activeCell="D18" sqref="D18"/>
    </sheetView>
  </sheetViews>
  <sheetFormatPr baseColWidth="10" defaultColWidth="17.1640625" defaultRowHeight="12.75" customHeight="1" x14ac:dyDescent="0"/>
  <cols>
    <col min="1" max="1" width="44.5" style="60" customWidth="1"/>
    <col min="2" max="5" width="17.1640625" style="60"/>
    <col min="6" max="6" width="44.1640625" style="60" customWidth="1"/>
    <col min="7" max="16384" width="17.1640625" style="60"/>
  </cols>
  <sheetData>
    <row r="1" spans="1:6" ht="12.75" customHeight="1">
      <c r="A1" s="71" t="s">
        <v>8</v>
      </c>
      <c r="B1" s="71" t="s">
        <v>23</v>
      </c>
      <c r="C1" s="59"/>
      <c r="D1" s="59"/>
      <c r="E1" s="59"/>
      <c r="F1" s="59"/>
    </row>
    <row r="2" spans="1:6" ht="12.75" customHeight="1">
      <c r="A2" s="59" t="s">
        <v>638</v>
      </c>
      <c r="B2" s="61">
        <v>500</v>
      </c>
      <c r="C2" s="59"/>
      <c r="D2" s="59"/>
      <c r="E2" s="59"/>
      <c r="F2" s="59"/>
    </row>
    <row r="3" spans="1:6" ht="12.75" customHeight="1">
      <c r="A3" s="59" t="s">
        <v>639</v>
      </c>
      <c r="B3" s="61">
        <v>1200</v>
      </c>
      <c r="C3" s="59"/>
      <c r="D3" s="59"/>
      <c r="E3" s="59"/>
      <c r="F3" s="59"/>
    </row>
    <row r="4" spans="1:6" ht="12.75" customHeight="1">
      <c r="A4" s="59" t="s">
        <v>640</v>
      </c>
      <c r="B4" s="61">
        <v>5000</v>
      </c>
      <c r="C4" s="59"/>
      <c r="D4" s="59"/>
      <c r="E4" s="59"/>
      <c r="F4" s="59"/>
    </row>
    <row r="5" spans="1:6" ht="12.75" customHeight="1">
      <c r="A5" s="59" t="s">
        <v>641</v>
      </c>
      <c r="B5" s="61">
        <v>3000</v>
      </c>
      <c r="C5" s="59"/>
      <c r="D5" s="59"/>
      <c r="E5" s="59"/>
      <c r="F5" s="59"/>
    </row>
    <row r="6" spans="1:6" ht="12.75" customHeight="1">
      <c r="A6" s="59" t="s">
        <v>642</v>
      </c>
      <c r="B6" s="61">
        <v>1000</v>
      </c>
      <c r="C6" s="59"/>
      <c r="D6" s="59"/>
      <c r="E6" s="59"/>
      <c r="F6" s="59"/>
    </row>
    <row r="7" spans="1:6" ht="12.75" customHeight="1">
      <c r="A7" s="59" t="s">
        <v>643</v>
      </c>
      <c r="B7" s="61">
        <v>500</v>
      </c>
      <c r="C7" s="59"/>
      <c r="D7" s="59"/>
      <c r="E7" s="59"/>
      <c r="F7" s="59"/>
    </row>
    <row r="8" spans="1:6" ht="12.75" customHeight="1">
      <c r="A8" s="59" t="s">
        <v>644</v>
      </c>
      <c r="B8" s="61">
        <v>1500</v>
      </c>
      <c r="C8" s="59"/>
      <c r="D8" s="59"/>
      <c r="E8" s="59"/>
      <c r="F8" s="59"/>
    </row>
    <row r="9" spans="1:6" ht="12.75" customHeight="1">
      <c r="A9" s="59" t="s">
        <v>645</v>
      </c>
      <c r="B9" s="61">
        <v>3000</v>
      </c>
      <c r="C9" s="59"/>
      <c r="D9" s="59"/>
      <c r="E9" s="59"/>
      <c r="F9" s="59"/>
    </row>
    <row r="10" spans="1:6" ht="12.75" customHeight="1">
      <c r="A10" s="59" t="s">
        <v>646</v>
      </c>
      <c r="B10" s="61">
        <v>1000</v>
      </c>
      <c r="C10" s="59"/>
      <c r="D10" s="59"/>
      <c r="E10" s="59"/>
      <c r="F10" s="59"/>
    </row>
    <row r="11" spans="1:6" ht="12.75" customHeight="1">
      <c r="A11" s="59" t="s">
        <v>647</v>
      </c>
      <c r="B11" s="61">
        <v>1500</v>
      </c>
      <c r="C11" s="59"/>
      <c r="D11" s="59"/>
      <c r="E11" s="59"/>
      <c r="F11" s="59"/>
    </row>
    <row r="12" spans="1:6" ht="12.75" customHeight="1">
      <c r="A12" s="59" t="s">
        <v>648</v>
      </c>
      <c r="B12" s="61">
        <v>1800</v>
      </c>
      <c r="C12" s="59"/>
      <c r="D12" s="59"/>
      <c r="E12" s="59"/>
      <c r="F12" s="59"/>
    </row>
    <row r="13" spans="1:6" ht="12.75" customHeight="1">
      <c r="A13" s="62" t="s">
        <v>23</v>
      </c>
      <c r="B13" s="63">
        <f>SUM(B2:B12)</f>
        <v>20000</v>
      </c>
      <c r="C13" s="59"/>
      <c r="D13" s="59"/>
      <c r="E13" s="59"/>
      <c r="F13" s="59"/>
    </row>
    <row r="14" spans="1:6" ht="12.75" customHeight="1">
      <c r="A14" s="59" t="s">
        <v>649</v>
      </c>
      <c r="B14" s="61">
        <v>12000</v>
      </c>
      <c r="C14" s="59"/>
      <c r="D14" s="59"/>
      <c r="E14" s="59"/>
      <c r="F14" s="59"/>
    </row>
    <row r="15" spans="1:6" ht="12.75" customHeight="1">
      <c r="A15" s="59" t="s">
        <v>650</v>
      </c>
      <c r="B15" s="63">
        <f>B13-B14</f>
        <v>8000</v>
      </c>
      <c r="C15" s="59"/>
      <c r="D15" s="59"/>
      <c r="E15" s="59"/>
      <c r="F15" s="59"/>
    </row>
    <row r="16" spans="1:6" ht="12.75" customHeight="1">
      <c r="A16" s="59"/>
      <c r="B16" s="59"/>
      <c r="C16" s="59"/>
      <c r="D16" s="59"/>
      <c r="E16" s="59"/>
      <c r="F16" s="59"/>
    </row>
    <row r="17" spans="1:6" ht="12.75" customHeight="1">
      <c r="A17" s="59"/>
      <c r="B17" s="59"/>
      <c r="C17" s="59"/>
      <c r="D17" s="59"/>
      <c r="E17" s="59"/>
      <c r="F17" s="59"/>
    </row>
    <row r="18" spans="1:6" ht="12.75" customHeight="1">
      <c r="A18" s="59"/>
      <c r="B18" s="59"/>
      <c r="C18" s="59"/>
      <c r="D18" s="59"/>
      <c r="E18" s="59"/>
      <c r="F18" s="59"/>
    </row>
    <row r="19" spans="1:6" ht="12.75" customHeight="1">
      <c r="A19" s="59"/>
      <c r="B19" s="59"/>
    </row>
    <row r="25" spans="1:6" ht="12.75" customHeight="1">
      <c r="A25" s="72"/>
    </row>
  </sheetData>
  <pageMargins left="0.75" right="0.75" top="1" bottom="1" header="0.5" footer="0.5"/>
  <pageSetup orientation="portrait" horizontalDpi="4294967292" verticalDpi="4294967292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34"/>
  <sheetViews>
    <sheetView zoomScale="125" zoomScaleNormal="125" zoomScalePageLayoutView="125" workbookViewId="0">
      <selection activeCell="F26" sqref="F26"/>
    </sheetView>
  </sheetViews>
  <sheetFormatPr baseColWidth="10" defaultColWidth="17.1640625" defaultRowHeight="12.75" customHeight="1" x14ac:dyDescent="0"/>
  <cols>
    <col min="1" max="1" width="12.33203125" style="96" customWidth="1"/>
    <col min="2" max="2" width="32.33203125" style="96" customWidth="1"/>
    <col min="3" max="3" width="10.83203125" style="96" customWidth="1"/>
    <col min="4" max="5" width="10" style="96" customWidth="1"/>
    <col min="6" max="11" width="13" style="96" customWidth="1"/>
    <col min="12" max="12" width="5.5" style="96" customWidth="1"/>
    <col min="13" max="13" width="26" style="96" customWidth="1"/>
    <col min="14" max="14" width="11" style="96" customWidth="1"/>
    <col min="15" max="15" width="10.33203125" style="96" customWidth="1"/>
    <col min="16" max="16" width="6.33203125" style="96" customWidth="1"/>
    <col min="17" max="17" width="19.1640625" style="96" customWidth="1"/>
    <col min="18" max="18" width="11.1640625" style="96" customWidth="1"/>
    <col min="19" max="16384" width="17.1640625" style="96"/>
  </cols>
  <sheetData>
    <row r="1" spans="1:20" ht="12.75" customHeight="1">
      <c r="A1" s="153"/>
      <c r="B1" s="153"/>
      <c r="C1" s="153"/>
      <c r="D1" s="153"/>
      <c r="E1" s="153"/>
      <c r="F1" s="155" t="s">
        <v>651</v>
      </c>
      <c r="G1" s="156"/>
      <c r="H1" s="155" t="s">
        <v>652</v>
      </c>
      <c r="I1" s="156"/>
      <c r="J1" s="157" t="s">
        <v>694</v>
      </c>
      <c r="K1" s="157"/>
      <c r="L1" s="73"/>
      <c r="S1" s="73"/>
      <c r="T1" s="73"/>
    </row>
    <row r="2" spans="1:20" ht="12.75" customHeight="1">
      <c r="A2" s="153"/>
      <c r="B2" s="153"/>
      <c r="C2" s="153"/>
      <c r="D2" s="153"/>
      <c r="E2" s="154"/>
      <c r="F2" s="158">
        <f>C18</f>
        <v>8000</v>
      </c>
      <c r="G2" s="159"/>
      <c r="H2" s="158">
        <f>C23</f>
        <v>12892.291422375461</v>
      </c>
      <c r="I2" s="159"/>
      <c r="J2" s="160">
        <f>500*(ROUNDUP((H2/500),0))</f>
        <v>13000</v>
      </c>
      <c r="K2" s="161"/>
      <c r="L2" s="73"/>
      <c r="S2" s="73"/>
      <c r="T2" s="73"/>
    </row>
    <row r="3" spans="1:20" ht="28">
      <c r="A3" s="114" t="s">
        <v>653</v>
      </c>
      <c r="B3" s="114" t="s">
        <v>690</v>
      </c>
      <c r="C3" s="114" t="s">
        <v>691</v>
      </c>
      <c r="D3" s="114" t="s">
        <v>692</v>
      </c>
      <c r="E3" s="115" t="s">
        <v>693</v>
      </c>
      <c r="F3" s="116" t="s">
        <v>654</v>
      </c>
      <c r="G3" s="115" t="s">
        <v>655</v>
      </c>
      <c r="H3" s="116" t="s">
        <v>656</v>
      </c>
      <c r="I3" s="115" t="s">
        <v>655</v>
      </c>
      <c r="J3" s="114" t="s">
        <v>656</v>
      </c>
      <c r="K3" s="114" t="s">
        <v>655</v>
      </c>
      <c r="L3" s="73"/>
      <c r="S3" s="73"/>
      <c r="T3" s="73"/>
    </row>
    <row r="4" spans="1:20" ht="21" customHeight="1">
      <c r="A4" s="117">
        <v>5</v>
      </c>
      <c r="B4" s="118" t="s">
        <v>657</v>
      </c>
      <c r="C4" s="119">
        <v>0.49</v>
      </c>
      <c r="D4" s="119">
        <f>C4</f>
        <v>0.49</v>
      </c>
      <c r="E4" s="120">
        <f>'Summary '!J33</f>
        <v>7.2447614801604998E-2</v>
      </c>
      <c r="F4" s="141">
        <f t="shared" ref="F4:F14" si="0">F$15*$E4</f>
        <v>9.4224064826156599</v>
      </c>
      <c r="G4" s="121">
        <f t="shared" ref="G4:G13" si="1">F4*$D4</f>
        <v>4.6169791764816734</v>
      </c>
      <c r="H4" s="141">
        <f t="shared" ref="H4:H14" si="2">H$15*$E4</f>
        <v>15.184551284245103</v>
      </c>
      <c r="I4" s="121">
        <f t="shared" ref="I4:I13" si="3">H4*$D4</f>
        <v>7.4404301292801005</v>
      </c>
      <c r="J4" s="144">
        <f t="shared" ref="J4:J14" si="4">J$15*$E4</f>
        <v>15.311410534250449</v>
      </c>
      <c r="K4" s="122">
        <f t="shared" ref="K4:K13" si="5">J4*$D4</f>
        <v>7.5025911617827195</v>
      </c>
      <c r="L4" s="73"/>
      <c r="S4" s="73"/>
      <c r="T4" s="73"/>
    </row>
    <row r="5" spans="1:20" ht="21" customHeight="1">
      <c r="A5" s="123">
        <v>10</v>
      </c>
      <c r="B5" s="118" t="s">
        <v>658</v>
      </c>
      <c r="C5" s="119">
        <v>1.79</v>
      </c>
      <c r="D5" s="119">
        <f t="shared" ref="D5:D13" si="6">D4+C5</f>
        <v>2.2800000000000002</v>
      </c>
      <c r="E5" s="120">
        <f>'Summary '!K33</f>
        <v>0.12193490860454748</v>
      </c>
      <c r="F5" s="141">
        <f t="shared" si="0"/>
        <v>15.858634910740816</v>
      </c>
      <c r="G5" s="121">
        <f t="shared" si="1"/>
        <v>36.157687596489069</v>
      </c>
      <c r="H5" s="141">
        <f t="shared" si="2"/>
        <v>25.556767853790987</v>
      </c>
      <c r="I5" s="121">
        <f t="shared" si="3"/>
        <v>58.269430706643455</v>
      </c>
      <c r="J5" s="144">
        <f t="shared" si="4"/>
        <v>25.77028172995383</v>
      </c>
      <c r="K5" s="122">
        <f t="shared" si="5"/>
        <v>58.756242344294741</v>
      </c>
      <c r="L5" s="73"/>
      <c r="S5" s="73"/>
      <c r="T5" s="73"/>
    </row>
    <row r="6" spans="1:20" ht="21" customHeight="1">
      <c r="A6" s="123">
        <v>25</v>
      </c>
      <c r="B6" s="118" t="s">
        <v>659</v>
      </c>
      <c r="C6" s="119">
        <v>0</v>
      </c>
      <c r="D6" s="119">
        <f t="shared" si="6"/>
        <v>2.2800000000000002</v>
      </c>
      <c r="E6" s="120">
        <f>'Summary '!L33</f>
        <v>0.37026304057066428</v>
      </c>
      <c r="F6" s="141">
        <f t="shared" si="0"/>
        <v>48.155745131152649</v>
      </c>
      <c r="G6" s="121">
        <f t="shared" si="1"/>
        <v>109.79509889902805</v>
      </c>
      <c r="H6" s="141">
        <f t="shared" si="2"/>
        <v>77.604737486557269</v>
      </c>
      <c r="I6" s="121">
        <f t="shared" si="3"/>
        <v>176.93880146935058</v>
      </c>
      <c r="J6" s="144">
        <f t="shared" si="4"/>
        <v>78.253085838123056</v>
      </c>
      <c r="K6" s="122">
        <f t="shared" si="5"/>
        <v>178.4170357109206</v>
      </c>
      <c r="L6" s="73"/>
      <c r="S6" s="73"/>
      <c r="T6" s="73"/>
    </row>
    <row r="7" spans="1:20" ht="21" customHeight="1">
      <c r="A7" s="123">
        <v>50</v>
      </c>
      <c r="B7" s="118" t="s">
        <v>660</v>
      </c>
      <c r="C7" s="119">
        <v>12.99</v>
      </c>
      <c r="D7" s="119">
        <f t="shared" si="6"/>
        <v>15.27</v>
      </c>
      <c r="E7" s="120">
        <f>'Summary '!M33</f>
        <v>0.20441373160945162</v>
      </c>
      <c r="F7" s="141">
        <f t="shared" si="0"/>
        <v>26.585682290949414</v>
      </c>
      <c r="G7" s="121">
        <f t="shared" si="1"/>
        <v>405.96336858279756</v>
      </c>
      <c r="H7" s="141">
        <f t="shared" si="2"/>
        <v>42.843795469700794</v>
      </c>
      <c r="I7" s="121">
        <f t="shared" si="3"/>
        <v>654.22475682233107</v>
      </c>
      <c r="J7" s="144">
        <f t="shared" si="4"/>
        <v>43.201733722792802</v>
      </c>
      <c r="K7" s="122">
        <f t="shared" si="5"/>
        <v>659.69047394704603</v>
      </c>
      <c r="L7" s="73"/>
      <c r="S7" s="73"/>
      <c r="T7" s="73"/>
    </row>
    <row r="8" spans="1:20" ht="21" customHeight="1">
      <c r="A8" s="123">
        <v>100</v>
      </c>
      <c r="B8" s="118" t="s">
        <v>661</v>
      </c>
      <c r="C8" s="119">
        <v>4.8899999999999997</v>
      </c>
      <c r="D8" s="119">
        <f t="shared" si="6"/>
        <v>20.16</v>
      </c>
      <c r="E8" s="120">
        <f>'Summary '!N33</f>
        <v>9.2732946946054398E-2</v>
      </c>
      <c r="F8" s="141">
        <f t="shared" si="0"/>
        <v>12.060680297748045</v>
      </c>
      <c r="G8" s="121">
        <f t="shared" si="1"/>
        <v>243.14331480260057</v>
      </c>
      <c r="H8" s="141">
        <f t="shared" si="2"/>
        <v>19.436225643833733</v>
      </c>
      <c r="I8" s="121">
        <f t="shared" si="3"/>
        <v>391.83430897968805</v>
      </c>
      <c r="J8" s="144">
        <f t="shared" si="4"/>
        <v>19.598605483840576</v>
      </c>
      <c r="K8" s="122">
        <f t="shared" si="5"/>
        <v>395.10788655422601</v>
      </c>
      <c r="L8" s="73"/>
      <c r="S8" s="73"/>
      <c r="T8" s="73"/>
    </row>
    <row r="9" spans="1:20" ht="21" customHeight="1">
      <c r="A9" s="123">
        <v>250</v>
      </c>
      <c r="B9" s="118" t="s">
        <v>662</v>
      </c>
      <c r="C9" s="119">
        <v>0</v>
      </c>
      <c r="D9" s="119">
        <f t="shared" si="6"/>
        <v>20.16</v>
      </c>
      <c r="E9" s="120">
        <f>'Summary '!O33</f>
        <v>3.1876950512706198E-2</v>
      </c>
      <c r="F9" s="141">
        <f t="shared" si="0"/>
        <v>4.1458588523508908</v>
      </c>
      <c r="G9" s="121">
        <f t="shared" si="1"/>
        <v>83.580514463393953</v>
      </c>
      <c r="H9" s="141">
        <f t="shared" si="2"/>
        <v>6.6812025650678448</v>
      </c>
      <c r="I9" s="121">
        <f t="shared" si="3"/>
        <v>134.69304371176776</v>
      </c>
      <c r="J9" s="144">
        <f t="shared" si="4"/>
        <v>6.7370206350701975</v>
      </c>
      <c r="K9" s="122">
        <f t="shared" si="5"/>
        <v>135.81833600301519</v>
      </c>
      <c r="L9" s="73"/>
      <c r="S9" s="73"/>
      <c r="T9" s="73"/>
    </row>
    <row r="10" spans="1:20" ht="21" customHeight="1">
      <c r="A10" s="123">
        <v>500</v>
      </c>
      <c r="B10" s="118" t="s">
        <v>663</v>
      </c>
      <c r="C10" s="119">
        <v>0</v>
      </c>
      <c r="D10" s="119">
        <f t="shared" si="6"/>
        <v>20.16</v>
      </c>
      <c r="E10" s="120">
        <f>'Summary '!P33</f>
        <v>1.2483281319661168E-2</v>
      </c>
      <c r="F10" s="141">
        <f t="shared" si="0"/>
        <v>1.6235531170045443</v>
      </c>
      <c r="G10" s="121">
        <f t="shared" si="1"/>
        <v>32.730830838811613</v>
      </c>
      <c r="H10" s="141">
        <f t="shared" si="2"/>
        <v>2.6164149905160792</v>
      </c>
      <c r="I10" s="121">
        <f t="shared" si="3"/>
        <v>52.746926208804155</v>
      </c>
      <c r="J10" s="144">
        <f t="shared" si="4"/>
        <v>2.638273815132385</v>
      </c>
      <c r="K10" s="122">
        <f t="shared" si="5"/>
        <v>53.187600113068882</v>
      </c>
      <c r="L10" s="73"/>
      <c r="S10" s="73"/>
      <c r="T10" s="73"/>
    </row>
    <row r="11" spans="1:20" ht="21" customHeight="1">
      <c r="A11" s="123">
        <v>1000</v>
      </c>
      <c r="B11" s="118" t="s">
        <v>664</v>
      </c>
      <c r="C11" s="119">
        <v>129</v>
      </c>
      <c r="D11" s="119">
        <f t="shared" si="6"/>
        <v>149.16</v>
      </c>
      <c r="E11" s="120">
        <f>'Summary '!Q33</f>
        <v>3.5666518056174765E-3</v>
      </c>
      <c r="F11" s="141">
        <f t="shared" si="0"/>
        <v>0.46387231914415555</v>
      </c>
      <c r="G11" s="121">
        <f t="shared" si="1"/>
        <v>69.191195123542244</v>
      </c>
      <c r="H11" s="141">
        <f t="shared" si="2"/>
        <v>0.74754714014745116</v>
      </c>
      <c r="I11" s="121">
        <f t="shared" si="3"/>
        <v>111.50413142439382</v>
      </c>
      <c r="J11" s="144">
        <f t="shared" si="4"/>
        <v>0.75379251860925278</v>
      </c>
      <c r="K11" s="122">
        <f t="shared" si="5"/>
        <v>112.43569207575614</v>
      </c>
      <c r="L11" s="73"/>
      <c r="S11" s="73"/>
      <c r="T11" s="73"/>
    </row>
    <row r="12" spans="1:20" ht="21" customHeight="1">
      <c r="A12" s="123">
        <v>2500</v>
      </c>
      <c r="B12" s="118" t="s">
        <v>665</v>
      </c>
      <c r="C12" s="119">
        <v>0</v>
      </c>
      <c r="D12" s="119">
        <f t="shared" si="6"/>
        <v>149.16</v>
      </c>
      <c r="E12" s="120">
        <f>'Summary '!R33</f>
        <v>6.6874721355327687E-4</v>
      </c>
      <c r="F12" s="141">
        <f t="shared" si="0"/>
        <v>8.6976059839529163E-2</v>
      </c>
      <c r="G12" s="121">
        <f t="shared" si="1"/>
        <v>12.97334908566417</v>
      </c>
      <c r="H12" s="141">
        <f t="shared" si="2"/>
        <v>0.14016508877764711</v>
      </c>
      <c r="I12" s="121">
        <f t="shared" si="3"/>
        <v>20.907024642073843</v>
      </c>
      <c r="J12" s="144">
        <f t="shared" si="4"/>
        <v>0.1413360972392349</v>
      </c>
      <c r="K12" s="122">
        <f t="shared" si="5"/>
        <v>21.081692264204278</v>
      </c>
      <c r="L12" s="73"/>
      <c r="S12" s="73"/>
      <c r="T12" s="73"/>
    </row>
    <row r="13" spans="1:20" ht="21" customHeight="1">
      <c r="A13" s="123">
        <v>5000</v>
      </c>
      <c r="B13" s="118" t="s">
        <v>666</v>
      </c>
      <c r="C13" s="119">
        <v>500</v>
      </c>
      <c r="D13" s="119">
        <f t="shared" si="6"/>
        <v>649.16</v>
      </c>
      <c r="E13" s="120">
        <f>'Summary '!S33</f>
        <v>4.4583147570218456E-4</v>
      </c>
      <c r="F13" s="141">
        <f t="shared" si="0"/>
        <v>5.7984039893019444E-2</v>
      </c>
      <c r="G13" s="121">
        <f t="shared" si="1"/>
        <v>37.6409193369525</v>
      </c>
      <c r="H13" s="141">
        <f t="shared" si="2"/>
        <v>9.3443392518431395E-2</v>
      </c>
      <c r="I13" s="121">
        <f t="shared" si="3"/>
        <v>60.659712687264921</v>
      </c>
      <c r="J13" s="144">
        <f t="shared" si="4"/>
        <v>9.4224064826156598E-2</v>
      </c>
      <c r="K13" s="122">
        <f t="shared" si="5"/>
        <v>61.166493922547815</v>
      </c>
      <c r="L13" s="73"/>
      <c r="S13" s="73"/>
      <c r="T13" s="73"/>
    </row>
    <row r="14" spans="1:20" ht="21" customHeight="1">
      <c r="A14" s="124" t="s">
        <v>668</v>
      </c>
      <c r="B14" s="125" t="s">
        <v>667</v>
      </c>
      <c r="C14" s="126">
        <v>0</v>
      </c>
      <c r="D14" s="126">
        <v>0</v>
      </c>
      <c r="E14" s="127">
        <f>'Summary '!T33</f>
        <v>8.9166295140436919E-2</v>
      </c>
      <c r="F14" s="142">
        <f t="shared" si="0"/>
        <v>11.59680797860389</v>
      </c>
      <c r="G14" s="128">
        <v>0</v>
      </c>
      <c r="H14" s="142">
        <f t="shared" si="2"/>
        <v>18.68867850368628</v>
      </c>
      <c r="I14" s="128">
        <v>0</v>
      </c>
      <c r="J14" s="145">
        <f t="shared" si="4"/>
        <v>18.84481296523132</v>
      </c>
      <c r="K14" s="129">
        <v>0</v>
      </c>
      <c r="L14" s="73"/>
      <c r="S14" s="73"/>
      <c r="T14" s="73"/>
    </row>
    <row r="15" spans="1:20" ht="21" customHeight="1">
      <c r="A15" s="149" t="s">
        <v>725</v>
      </c>
      <c r="B15" s="149"/>
      <c r="C15" s="149"/>
      <c r="D15" s="149"/>
      <c r="E15" s="150"/>
      <c r="F15" s="143">
        <f>F2/$C$17</f>
        <v>130.05820148004261</v>
      </c>
      <c r="G15" s="130">
        <f>SUM(G4:G14)</f>
        <v>1035.7932579057613</v>
      </c>
      <c r="H15" s="143">
        <f>H2/$C$17</f>
        <v>209.59352941884163</v>
      </c>
      <c r="I15" s="130">
        <f>SUM(I4:I14)</f>
        <v>1669.2185667815977</v>
      </c>
      <c r="J15" s="146">
        <f>J2/$C$17</f>
        <v>211.34457740506926</v>
      </c>
      <c r="K15" s="131">
        <f>SUM(K4:K14)</f>
        <v>1683.1640440968624</v>
      </c>
      <c r="L15" s="73"/>
      <c r="S15" s="73"/>
      <c r="T15" s="73"/>
    </row>
    <row r="16" spans="1:20" ht="21" customHeight="1">
      <c r="A16" s="151"/>
      <c r="B16" s="132" t="s">
        <v>673</v>
      </c>
      <c r="C16" s="132"/>
      <c r="D16" s="151"/>
      <c r="E16" s="151"/>
      <c r="F16" s="133" t="s">
        <v>669</v>
      </c>
      <c r="G16" s="121">
        <f>F$2*$C$20</f>
        <v>800</v>
      </c>
      <c r="H16" s="133" t="s">
        <v>669</v>
      </c>
      <c r="I16" s="121">
        <f>H$2*$C$20</f>
        <v>1289.2291422375463</v>
      </c>
      <c r="J16" s="134" t="s">
        <v>669</v>
      </c>
      <c r="K16" s="122">
        <f>J$2*$C$20</f>
        <v>1300</v>
      </c>
      <c r="L16" s="73"/>
      <c r="S16" s="73"/>
      <c r="T16" s="73"/>
    </row>
    <row r="17" spans="1:20" ht="18" customHeight="1">
      <c r="A17" s="151"/>
      <c r="B17" s="132" t="s">
        <v>674</v>
      </c>
      <c r="C17" s="135">
        <f>'Summary '!F33</f>
        <v>61.510922871154705</v>
      </c>
      <c r="D17" s="151"/>
      <c r="E17" s="151"/>
      <c r="F17" s="133" t="s">
        <v>670</v>
      </c>
      <c r="G17" s="121">
        <f>F$2*$C$21</f>
        <v>800</v>
      </c>
      <c r="H17" s="133" t="s">
        <v>670</v>
      </c>
      <c r="I17" s="121">
        <f>H$2*$C$21</f>
        <v>1289.2291422375463</v>
      </c>
      <c r="J17" s="134" t="s">
        <v>670</v>
      </c>
      <c r="K17" s="122">
        <f>J$2*$C$21</f>
        <v>1300</v>
      </c>
      <c r="L17" s="73"/>
      <c r="S17" s="73"/>
      <c r="T17" s="73"/>
    </row>
    <row r="18" spans="1:20" ht="18" customHeight="1">
      <c r="A18" s="151"/>
      <c r="B18" s="136" t="s">
        <v>675</v>
      </c>
      <c r="C18" s="137">
        <v>8000</v>
      </c>
      <c r="D18" s="151"/>
      <c r="E18" s="151"/>
      <c r="F18" s="133" t="s">
        <v>671</v>
      </c>
      <c r="G18" s="121">
        <f>F$2*$C$22</f>
        <v>400</v>
      </c>
      <c r="H18" s="133" t="s">
        <v>671</v>
      </c>
      <c r="I18" s="121">
        <f>H$2*$C$22</f>
        <v>644.61457111877314</v>
      </c>
      <c r="J18" s="134" t="s">
        <v>671</v>
      </c>
      <c r="K18" s="122">
        <f>J$2*$C$22</f>
        <v>650</v>
      </c>
      <c r="L18" s="73"/>
      <c r="S18" s="73"/>
      <c r="T18" s="73"/>
    </row>
    <row r="19" spans="1:20" ht="18" customHeight="1">
      <c r="A19" s="151"/>
      <c r="B19" s="136" t="s">
        <v>709</v>
      </c>
      <c r="C19" s="138">
        <f>G15/F2</f>
        <v>0.12947415723822014</v>
      </c>
      <c r="D19" s="151"/>
      <c r="E19" s="151"/>
      <c r="F19" s="139" t="s">
        <v>672</v>
      </c>
      <c r="G19" s="121">
        <f>F2-SUM(G15:G18)</f>
        <v>4964.2067420942385</v>
      </c>
      <c r="H19" s="139" t="s">
        <v>672</v>
      </c>
      <c r="I19" s="121">
        <f>H2-SUM(I15:I18)</f>
        <v>7999.9999999999982</v>
      </c>
      <c r="J19" s="140" t="s">
        <v>672</v>
      </c>
      <c r="K19" s="131">
        <f>J2-SUM(K15:K18)</f>
        <v>8066.8359559031378</v>
      </c>
      <c r="L19" s="73"/>
      <c r="S19" s="73"/>
      <c r="T19" s="73"/>
    </row>
    <row r="20" spans="1:20" ht="12.75" customHeight="1">
      <c r="A20" s="152"/>
      <c r="B20" s="104" t="s">
        <v>669</v>
      </c>
      <c r="C20" s="107">
        <v>0.1</v>
      </c>
      <c r="D20" s="152"/>
      <c r="E20" s="152"/>
      <c r="F20" s="152"/>
      <c r="G20" s="152"/>
      <c r="H20" s="152"/>
      <c r="I20" s="152"/>
      <c r="J20" s="152"/>
      <c r="K20" s="152"/>
      <c r="L20" s="73"/>
      <c r="M20" s="73"/>
      <c r="N20" s="73"/>
      <c r="O20" s="73"/>
      <c r="P20" s="73"/>
      <c r="Q20" s="73"/>
      <c r="R20" s="73"/>
      <c r="S20" s="73"/>
      <c r="T20" s="73"/>
    </row>
    <row r="21" spans="1:20" ht="12.75" customHeight="1">
      <c r="A21" s="152"/>
      <c r="B21" s="104" t="s">
        <v>676</v>
      </c>
      <c r="C21" s="107">
        <v>0.1</v>
      </c>
      <c r="D21" s="152"/>
      <c r="E21" s="152"/>
      <c r="F21" s="152"/>
      <c r="G21" s="152"/>
      <c r="H21" s="152"/>
      <c r="I21" s="152"/>
      <c r="J21" s="152"/>
      <c r="K21" s="152"/>
      <c r="L21" s="73"/>
      <c r="M21" s="73"/>
      <c r="N21" s="73"/>
      <c r="O21" s="73"/>
      <c r="P21" s="73"/>
      <c r="Q21" s="73"/>
      <c r="R21" s="73"/>
      <c r="S21" s="73"/>
      <c r="T21" s="73"/>
    </row>
    <row r="22" spans="1:20" ht="12.75" customHeight="1">
      <c r="A22" s="152"/>
      <c r="B22" s="104" t="s">
        <v>671</v>
      </c>
      <c r="C22" s="107">
        <v>0.05</v>
      </c>
      <c r="D22" s="152"/>
      <c r="E22" s="152"/>
      <c r="F22" s="152"/>
      <c r="G22" s="152"/>
      <c r="H22" s="152"/>
      <c r="I22" s="152"/>
      <c r="J22" s="152"/>
      <c r="K22" s="152"/>
      <c r="L22" s="73"/>
      <c r="M22" s="73"/>
      <c r="N22" s="73"/>
      <c r="O22" s="73"/>
      <c r="P22" s="73"/>
      <c r="Q22" s="73"/>
      <c r="R22" s="73"/>
      <c r="S22" s="73"/>
      <c r="T22" s="73"/>
    </row>
    <row r="23" spans="1:20" ht="12.75" customHeight="1">
      <c r="A23" s="152"/>
      <c r="B23" s="104" t="s">
        <v>652</v>
      </c>
      <c r="C23" s="100">
        <f>C18/(1-SUM(C19:C22))</f>
        <v>12892.291422375461</v>
      </c>
      <c r="D23" s="152"/>
      <c r="E23" s="152"/>
      <c r="F23" s="152"/>
      <c r="G23" s="152"/>
      <c r="H23" s="152"/>
      <c r="I23" s="152"/>
      <c r="J23" s="152"/>
      <c r="K23" s="152"/>
      <c r="L23" s="73"/>
      <c r="M23" s="73"/>
      <c r="N23" s="73"/>
      <c r="O23" s="73"/>
      <c r="P23" s="73"/>
      <c r="Q23" s="73"/>
      <c r="R23" s="73"/>
      <c r="S23" s="73"/>
      <c r="T23" s="73"/>
    </row>
    <row r="24" spans="1:20" ht="12.75" customHeight="1">
      <c r="A24" s="152"/>
      <c r="B24" s="103" t="s">
        <v>694</v>
      </c>
      <c r="C24" s="102">
        <f>J2</f>
        <v>13000</v>
      </c>
      <c r="D24" s="152"/>
      <c r="E24" s="152"/>
      <c r="F24" s="152"/>
      <c r="G24" s="152"/>
      <c r="H24" s="152"/>
      <c r="I24" s="152"/>
      <c r="J24" s="152"/>
      <c r="K24" s="152"/>
      <c r="L24" s="73"/>
      <c r="M24" s="73"/>
      <c r="N24" s="73"/>
      <c r="O24" s="73"/>
      <c r="P24" s="73"/>
      <c r="Q24" s="73"/>
      <c r="R24" s="73"/>
      <c r="S24" s="73"/>
      <c r="T24" s="73"/>
    </row>
    <row r="25" spans="1:20" ht="12.75" customHeight="1">
      <c r="A25" s="152"/>
      <c r="B25" s="104" t="s">
        <v>677</v>
      </c>
      <c r="C25" s="107">
        <f>(C24/C18)-1</f>
        <v>0.625</v>
      </c>
      <c r="D25" s="152"/>
      <c r="E25" s="152"/>
      <c r="F25" s="152"/>
      <c r="G25" s="152"/>
      <c r="H25" s="152"/>
      <c r="I25" s="152"/>
      <c r="J25" s="152"/>
      <c r="K25" s="152"/>
      <c r="L25" s="73"/>
      <c r="M25" s="73"/>
      <c r="N25" s="73"/>
      <c r="O25" s="73"/>
      <c r="P25" s="73"/>
      <c r="Q25" s="73"/>
      <c r="R25" s="73"/>
      <c r="S25" s="73"/>
      <c r="T25" s="73"/>
    </row>
    <row r="26" spans="1:20" ht="12.75" customHeight="1">
      <c r="A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</row>
    <row r="27" spans="1:20" ht="12.75" customHeight="1">
      <c r="A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</row>
    <row r="28" spans="1:20" ht="12.75" customHeight="1">
      <c r="A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</row>
    <row r="29" spans="1:20" ht="12.75" customHeight="1">
      <c r="A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</row>
    <row r="34" spans="2:11" ht="12.75" customHeight="1">
      <c r="B34" s="97"/>
      <c r="C34" s="97"/>
      <c r="D34" s="97"/>
      <c r="E34" s="97"/>
      <c r="F34" s="97"/>
      <c r="G34" s="97"/>
      <c r="H34" s="97"/>
      <c r="I34" s="97"/>
      <c r="J34" s="97"/>
      <c r="K34" s="98"/>
    </row>
  </sheetData>
  <mergeCells count="11">
    <mergeCell ref="A15:E15"/>
    <mergeCell ref="D16:E25"/>
    <mergeCell ref="A16:A25"/>
    <mergeCell ref="F20:K25"/>
    <mergeCell ref="A1:E2"/>
    <mergeCell ref="F1:G1"/>
    <mergeCell ref="H1:I1"/>
    <mergeCell ref="J1:K1"/>
    <mergeCell ref="F2:G2"/>
    <mergeCell ref="H2:I2"/>
    <mergeCell ref="J2:K2"/>
  </mergeCells>
  <pageMargins left="0.75" right="0.75" top="1" bottom="1" header="0.5" footer="0.5"/>
  <pageSetup orientation="portrait" horizontalDpi="4294967292" verticalDpi="4294967292"/>
  <ignoredErrors>
    <ignoredError sqref="G4:G5" formula="1"/>
  </ignoredErrors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34"/>
  <sheetViews>
    <sheetView zoomScale="125" zoomScaleNormal="125" zoomScalePageLayoutView="125" workbookViewId="0">
      <selection sqref="A1:K25"/>
    </sheetView>
  </sheetViews>
  <sheetFormatPr baseColWidth="10" defaultColWidth="17.1640625" defaultRowHeight="12.75" customHeight="1" x14ac:dyDescent="0"/>
  <cols>
    <col min="1" max="1" width="12.33203125" style="104" customWidth="1"/>
    <col min="2" max="2" width="32.33203125" style="104" hidden="1" customWidth="1"/>
    <col min="3" max="5" width="13" style="104" hidden="1" customWidth="1"/>
    <col min="6" max="11" width="13" style="104" customWidth="1"/>
    <col min="12" max="12" width="5.5" style="104" customWidth="1"/>
    <col min="13" max="13" width="26" style="104" customWidth="1"/>
    <col min="14" max="14" width="11" style="104" customWidth="1"/>
    <col min="15" max="15" width="10.33203125" style="104" customWidth="1"/>
    <col min="16" max="16" width="6.33203125" style="104" customWidth="1"/>
    <col min="17" max="17" width="19.1640625" style="104" customWidth="1"/>
    <col min="18" max="18" width="11.1640625" style="104" customWidth="1"/>
    <col min="19" max="16384" width="17.1640625" style="104"/>
  </cols>
  <sheetData>
    <row r="1" spans="1:20" ht="12.75" customHeight="1">
      <c r="A1" s="153"/>
      <c r="B1" s="153"/>
      <c r="C1" s="153"/>
      <c r="D1" s="153"/>
      <c r="E1" s="153"/>
      <c r="F1" s="162" t="s">
        <v>651</v>
      </c>
      <c r="G1" s="162"/>
      <c r="H1" s="162" t="s">
        <v>652</v>
      </c>
      <c r="I1" s="162"/>
      <c r="J1" s="162" t="s">
        <v>694</v>
      </c>
      <c r="K1" s="162"/>
    </row>
    <row r="2" spans="1:20" ht="12.75" customHeight="1">
      <c r="A2" s="153"/>
      <c r="B2" s="153"/>
      <c r="C2" s="153"/>
      <c r="D2" s="153"/>
      <c r="E2" s="154"/>
      <c r="F2" s="160">
        <f>C18</f>
        <v>8000</v>
      </c>
      <c r="G2" s="161"/>
      <c r="H2" s="160">
        <f>C23</f>
        <v>12892.291422375461</v>
      </c>
      <c r="I2" s="161"/>
      <c r="J2" s="160">
        <f>500*(ROUNDUP((H2/500),0))</f>
        <v>13000</v>
      </c>
      <c r="K2" s="161"/>
    </row>
    <row r="3" spans="1:20" ht="28">
      <c r="A3" s="113" t="s">
        <v>653</v>
      </c>
      <c r="B3" s="113" t="s">
        <v>690</v>
      </c>
      <c r="C3" s="113" t="s">
        <v>691</v>
      </c>
      <c r="D3" s="113" t="s">
        <v>692</v>
      </c>
      <c r="E3" s="113" t="s">
        <v>693</v>
      </c>
      <c r="F3" s="113" t="s">
        <v>654</v>
      </c>
      <c r="G3" s="113" t="s">
        <v>655</v>
      </c>
      <c r="H3" s="113" t="s">
        <v>656</v>
      </c>
      <c r="I3" s="113" t="s">
        <v>655</v>
      </c>
      <c r="J3" s="113" t="s">
        <v>656</v>
      </c>
      <c r="K3" s="113" t="s">
        <v>655</v>
      </c>
    </row>
    <row r="4" spans="1:20" ht="12.75" customHeight="1">
      <c r="A4" s="108">
        <v>5</v>
      </c>
      <c r="B4" s="104" t="s">
        <v>657</v>
      </c>
      <c r="C4" s="109">
        <v>0.49</v>
      </c>
      <c r="D4" s="104">
        <f>C4</f>
        <v>0.49</v>
      </c>
      <c r="E4" s="107">
        <f>'Summary '!J33</f>
        <v>7.2447614801604998E-2</v>
      </c>
      <c r="F4" s="99">
        <f t="shared" ref="F4:F14" si="0">F$15*$E4</f>
        <v>9.4224064826156599</v>
      </c>
      <c r="G4" s="109">
        <f t="shared" ref="G4:G13" si="1">F4*$D4</f>
        <v>4.6169791764816734</v>
      </c>
      <c r="H4" s="99">
        <f t="shared" ref="H4:H14" si="2">H$15*$E4</f>
        <v>15.184551284245103</v>
      </c>
      <c r="I4" s="109">
        <f t="shared" ref="I4:I13" si="3">H4*$D4</f>
        <v>7.4404301292801005</v>
      </c>
      <c r="J4" s="99">
        <f t="shared" ref="J4:J14" si="4">J$15*$E4</f>
        <v>15.311410534250449</v>
      </c>
      <c r="K4" s="109">
        <f t="shared" ref="K4:K13" si="5">J4*$D4</f>
        <v>7.5025911617827195</v>
      </c>
    </row>
    <row r="5" spans="1:20" ht="12.75" customHeight="1">
      <c r="A5" s="108">
        <v>10</v>
      </c>
      <c r="B5" s="104" t="s">
        <v>658</v>
      </c>
      <c r="C5" s="109">
        <v>1.79</v>
      </c>
      <c r="D5" s="104">
        <f t="shared" ref="D5:D13" si="6">D4+C5</f>
        <v>2.2800000000000002</v>
      </c>
      <c r="E5" s="107">
        <f>'Summary '!K33</f>
        <v>0.12193490860454748</v>
      </c>
      <c r="F5" s="99">
        <f t="shared" si="0"/>
        <v>15.858634910740816</v>
      </c>
      <c r="G5" s="109">
        <f t="shared" si="1"/>
        <v>36.157687596489069</v>
      </c>
      <c r="H5" s="99">
        <f t="shared" si="2"/>
        <v>25.556767853790987</v>
      </c>
      <c r="I5" s="109">
        <f t="shared" si="3"/>
        <v>58.269430706643455</v>
      </c>
      <c r="J5" s="99">
        <f t="shared" si="4"/>
        <v>25.77028172995383</v>
      </c>
      <c r="K5" s="109">
        <f t="shared" si="5"/>
        <v>58.756242344294741</v>
      </c>
    </row>
    <row r="6" spans="1:20" ht="12.75" customHeight="1">
      <c r="A6" s="108">
        <v>25</v>
      </c>
      <c r="B6" s="104" t="s">
        <v>659</v>
      </c>
      <c r="C6" s="109">
        <v>0</v>
      </c>
      <c r="D6" s="104">
        <f t="shared" si="6"/>
        <v>2.2800000000000002</v>
      </c>
      <c r="E6" s="107">
        <f>'Summary '!L33</f>
        <v>0.37026304057066428</v>
      </c>
      <c r="F6" s="99">
        <f t="shared" si="0"/>
        <v>48.155745131152649</v>
      </c>
      <c r="G6" s="109">
        <f t="shared" si="1"/>
        <v>109.79509889902805</v>
      </c>
      <c r="H6" s="99">
        <f t="shared" si="2"/>
        <v>77.604737486557269</v>
      </c>
      <c r="I6" s="109">
        <f t="shared" si="3"/>
        <v>176.93880146935058</v>
      </c>
      <c r="J6" s="99">
        <f t="shared" si="4"/>
        <v>78.253085838123056</v>
      </c>
      <c r="K6" s="109">
        <f t="shared" si="5"/>
        <v>178.4170357109206</v>
      </c>
    </row>
    <row r="7" spans="1:20" ht="12.75" customHeight="1">
      <c r="A7" s="108">
        <v>50</v>
      </c>
      <c r="B7" s="104" t="s">
        <v>660</v>
      </c>
      <c r="C7" s="109">
        <v>12.99</v>
      </c>
      <c r="D7" s="104">
        <f t="shared" si="6"/>
        <v>15.27</v>
      </c>
      <c r="E7" s="107">
        <f>'Summary '!M33</f>
        <v>0.20441373160945162</v>
      </c>
      <c r="F7" s="99">
        <f t="shared" si="0"/>
        <v>26.585682290949414</v>
      </c>
      <c r="G7" s="109">
        <f t="shared" si="1"/>
        <v>405.96336858279756</v>
      </c>
      <c r="H7" s="99">
        <f t="shared" si="2"/>
        <v>42.843795469700794</v>
      </c>
      <c r="I7" s="109">
        <f t="shared" si="3"/>
        <v>654.22475682233107</v>
      </c>
      <c r="J7" s="99">
        <f t="shared" si="4"/>
        <v>43.201733722792802</v>
      </c>
      <c r="K7" s="109">
        <f t="shared" si="5"/>
        <v>659.69047394704603</v>
      </c>
    </row>
    <row r="8" spans="1:20" ht="12.75" customHeight="1">
      <c r="A8" s="108">
        <v>100</v>
      </c>
      <c r="B8" s="104" t="s">
        <v>661</v>
      </c>
      <c r="C8" s="109">
        <v>4.8899999999999997</v>
      </c>
      <c r="D8" s="104">
        <f t="shared" si="6"/>
        <v>20.16</v>
      </c>
      <c r="E8" s="107">
        <f>'Summary '!N33</f>
        <v>9.2732946946054398E-2</v>
      </c>
      <c r="F8" s="99">
        <f t="shared" si="0"/>
        <v>12.060680297748045</v>
      </c>
      <c r="G8" s="109">
        <f t="shared" si="1"/>
        <v>243.14331480260057</v>
      </c>
      <c r="H8" s="99">
        <f t="shared" si="2"/>
        <v>19.436225643833733</v>
      </c>
      <c r="I8" s="109">
        <f t="shared" si="3"/>
        <v>391.83430897968805</v>
      </c>
      <c r="J8" s="99">
        <f t="shared" si="4"/>
        <v>19.598605483840576</v>
      </c>
      <c r="K8" s="109">
        <f t="shared" si="5"/>
        <v>395.10788655422601</v>
      </c>
    </row>
    <row r="9" spans="1:20" ht="12.75" customHeight="1">
      <c r="A9" s="108">
        <v>250</v>
      </c>
      <c r="B9" s="104" t="s">
        <v>662</v>
      </c>
      <c r="C9" s="109">
        <v>0</v>
      </c>
      <c r="D9" s="104">
        <f t="shared" si="6"/>
        <v>20.16</v>
      </c>
      <c r="E9" s="107">
        <f>'Summary '!O33</f>
        <v>3.1876950512706198E-2</v>
      </c>
      <c r="F9" s="99">
        <f t="shared" si="0"/>
        <v>4.1458588523508908</v>
      </c>
      <c r="G9" s="109">
        <f t="shared" si="1"/>
        <v>83.580514463393953</v>
      </c>
      <c r="H9" s="99">
        <f t="shared" si="2"/>
        <v>6.6812025650678448</v>
      </c>
      <c r="I9" s="109">
        <f t="shared" si="3"/>
        <v>134.69304371176776</v>
      </c>
      <c r="J9" s="99">
        <f t="shared" si="4"/>
        <v>6.7370206350701975</v>
      </c>
      <c r="K9" s="109">
        <f t="shared" si="5"/>
        <v>135.81833600301519</v>
      </c>
    </row>
    <row r="10" spans="1:20" ht="12.75" customHeight="1">
      <c r="A10" s="108">
        <v>500</v>
      </c>
      <c r="B10" s="104" t="s">
        <v>663</v>
      </c>
      <c r="C10" s="109">
        <v>0</v>
      </c>
      <c r="D10" s="104">
        <f t="shared" si="6"/>
        <v>20.16</v>
      </c>
      <c r="E10" s="107">
        <f>'Summary '!P33</f>
        <v>1.2483281319661168E-2</v>
      </c>
      <c r="F10" s="99">
        <f t="shared" si="0"/>
        <v>1.6235531170045443</v>
      </c>
      <c r="G10" s="109">
        <f t="shared" si="1"/>
        <v>32.730830838811613</v>
      </c>
      <c r="H10" s="99">
        <f t="shared" si="2"/>
        <v>2.6164149905160792</v>
      </c>
      <c r="I10" s="109">
        <f t="shared" si="3"/>
        <v>52.746926208804155</v>
      </c>
      <c r="J10" s="99">
        <f t="shared" si="4"/>
        <v>2.638273815132385</v>
      </c>
      <c r="K10" s="109">
        <f t="shared" si="5"/>
        <v>53.187600113068882</v>
      </c>
    </row>
    <row r="11" spans="1:20" ht="12.75" customHeight="1">
      <c r="A11" s="108">
        <v>1000</v>
      </c>
      <c r="B11" s="104" t="s">
        <v>664</v>
      </c>
      <c r="C11" s="109">
        <v>129</v>
      </c>
      <c r="D11" s="104">
        <f t="shared" si="6"/>
        <v>149.16</v>
      </c>
      <c r="E11" s="107">
        <f>'Summary '!Q33</f>
        <v>3.5666518056174765E-3</v>
      </c>
      <c r="F11" s="99">
        <f t="shared" si="0"/>
        <v>0.46387231914415555</v>
      </c>
      <c r="G11" s="109">
        <f t="shared" si="1"/>
        <v>69.191195123542244</v>
      </c>
      <c r="H11" s="99">
        <f t="shared" si="2"/>
        <v>0.74754714014745116</v>
      </c>
      <c r="I11" s="109">
        <f t="shared" si="3"/>
        <v>111.50413142439382</v>
      </c>
      <c r="J11" s="99">
        <f t="shared" si="4"/>
        <v>0.75379251860925278</v>
      </c>
      <c r="K11" s="109">
        <f t="shared" si="5"/>
        <v>112.43569207575614</v>
      </c>
    </row>
    <row r="12" spans="1:20" ht="12.75" customHeight="1">
      <c r="A12" s="108">
        <v>2500</v>
      </c>
      <c r="B12" s="104" t="s">
        <v>665</v>
      </c>
      <c r="C12" s="109">
        <v>0</v>
      </c>
      <c r="D12" s="104">
        <f t="shared" si="6"/>
        <v>149.16</v>
      </c>
      <c r="E12" s="107">
        <f>'Summary '!R33</f>
        <v>6.6874721355327687E-4</v>
      </c>
      <c r="F12" s="99">
        <f t="shared" si="0"/>
        <v>8.6976059839529163E-2</v>
      </c>
      <c r="G12" s="109">
        <f t="shared" si="1"/>
        <v>12.97334908566417</v>
      </c>
      <c r="H12" s="99">
        <f t="shared" si="2"/>
        <v>0.14016508877764711</v>
      </c>
      <c r="I12" s="109">
        <f t="shared" si="3"/>
        <v>20.907024642073843</v>
      </c>
      <c r="J12" s="99">
        <f t="shared" si="4"/>
        <v>0.1413360972392349</v>
      </c>
      <c r="K12" s="109">
        <f t="shared" si="5"/>
        <v>21.081692264204278</v>
      </c>
    </row>
    <row r="13" spans="1:20" ht="12.75" customHeight="1">
      <c r="A13" s="108">
        <v>5000</v>
      </c>
      <c r="B13" s="104" t="s">
        <v>666</v>
      </c>
      <c r="C13" s="109">
        <v>500</v>
      </c>
      <c r="D13" s="104">
        <f t="shared" si="6"/>
        <v>649.16</v>
      </c>
      <c r="E13" s="107">
        <f>'Summary '!S33</f>
        <v>4.4583147570218456E-4</v>
      </c>
      <c r="F13" s="99">
        <f t="shared" si="0"/>
        <v>5.7984039893019444E-2</v>
      </c>
      <c r="G13" s="109">
        <f t="shared" si="1"/>
        <v>37.6409193369525</v>
      </c>
      <c r="H13" s="99">
        <f t="shared" si="2"/>
        <v>9.3443392518431395E-2</v>
      </c>
      <c r="I13" s="109">
        <f t="shared" si="3"/>
        <v>60.659712687264921</v>
      </c>
      <c r="J13" s="99">
        <f t="shared" si="4"/>
        <v>9.4224064826156598E-2</v>
      </c>
      <c r="K13" s="109">
        <f t="shared" si="5"/>
        <v>61.166493922547815</v>
      </c>
    </row>
    <row r="14" spans="1:20" ht="12.75" customHeight="1">
      <c r="A14" s="108" t="s">
        <v>668</v>
      </c>
      <c r="B14" s="104" t="s">
        <v>667</v>
      </c>
      <c r="C14" s="110">
        <v>0</v>
      </c>
      <c r="D14" s="111">
        <v>0</v>
      </c>
      <c r="E14" s="107">
        <f>'Summary '!T33</f>
        <v>8.9166295140436919E-2</v>
      </c>
      <c r="F14" s="99">
        <f t="shared" si="0"/>
        <v>11.59680797860389</v>
      </c>
      <c r="G14" s="109">
        <v>0</v>
      </c>
      <c r="H14" s="99">
        <f t="shared" si="2"/>
        <v>18.68867850368628</v>
      </c>
      <c r="I14" s="109">
        <v>0</v>
      </c>
      <c r="J14" s="99">
        <f t="shared" si="4"/>
        <v>18.84481296523132</v>
      </c>
      <c r="K14" s="109">
        <v>0</v>
      </c>
    </row>
    <row r="15" spans="1:20" ht="12.75" customHeight="1">
      <c r="A15" s="152"/>
      <c r="B15" s="152"/>
      <c r="C15" s="152"/>
      <c r="D15" s="152"/>
      <c r="E15" s="152"/>
      <c r="F15" s="101">
        <f>F2/$C$17</f>
        <v>130.05820148004261</v>
      </c>
      <c r="G15" s="112">
        <f>SUM(G4:G14)</f>
        <v>1035.7932579057613</v>
      </c>
      <c r="H15" s="101">
        <f>H2/$C$17</f>
        <v>209.59352941884163</v>
      </c>
      <c r="I15" s="112">
        <f>SUM(I4:I14)</f>
        <v>1669.2185667815977</v>
      </c>
      <c r="J15" s="101">
        <f>J2/$C$17</f>
        <v>211.34457740506926</v>
      </c>
      <c r="K15" s="112">
        <f>SUM(K4:K14)</f>
        <v>1683.1640440968624</v>
      </c>
    </row>
    <row r="16" spans="1:20" ht="12.75" customHeight="1">
      <c r="A16" s="152"/>
      <c r="B16" s="103" t="s">
        <v>673</v>
      </c>
      <c r="C16" s="103"/>
      <c r="D16" s="152"/>
      <c r="E16" s="152"/>
      <c r="F16" s="104" t="s">
        <v>669</v>
      </c>
      <c r="G16" s="109">
        <f>F$2*$C$20</f>
        <v>800</v>
      </c>
      <c r="H16" s="104" t="s">
        <v>669</v>
      </c>
      <c r="I16" s="109">
        <f>H$2*$C$20</f>
        <v>1289.2291422375463</v>
      </c>
      <c r="J16" s="104" t="s">
        <v>669</v>
      </c>
      <c r="K16" s="109">
        <f>J$2*$C$20</f>
        <v>1300</v>
      </c>
    </row>
    <row r="17" spans="1:11" ht="12.75" customHeight="1">
      <c r="A17" s="152"/>
      <c r="B17" s="103" t="s">
        <v>674</v>
      </c>
      <c r="C17" s="105">
        <f>'Summary '!F33</f>
        <v>61.510922871154705</v>
      </c>
      <c r="D17" s="152"/>
      <c r="E17" s="152"/>
      <c r="F17" s="104" t="s">
        <v>670</v>
      </c>
      <c r="G17" s="109">
        <f>F$2*$C$21</f>
        <v>800</v>
      </c>
      <c r="H17" s="104" t="s">
        <v>670</v>
      </c>
      <c r="I17" s="109">
        <f>H$2*$C$21</f>
        <v>1289.2291422375463</v>
      </c>
      <c r="J17" s="104" t="s">
        <v>670</v>
      </c>
      <c r="K17" s="109">
        <f>J$2*$C$21</f>
        <v>1300</v>
      </c>
    </row>
    <row r="18" spans="1:11" ht="12.75" customHeight="1">
      <c r="A18" s="152"/>
      <c r="B18" s="104" t="s">
        <v>675</v>
      </c>
      <c r="C18" s="109">
        <v>8000</v>
      </c>
      <c r="D18" s="152"/>
      <c r="E18" s="152"/>
      <c r="F18" s="104" t="s">
        <v>671</v>
      </c>
      <c r="G18" s="109">
        <f>F$2*$C$22</f>
        <v>400</v>
      </c>
      <c r="H18" s="104" t="s">
        <v>671</v>
      </c>
      <c r="I18" s="109">
        <f>H$2*$C$22</f>
        <v>644.61457111877314</v>
      </c>
      <c r="J18" s="104" t="s">
        <v>671</v>
      </c>
      <c r="K18" s="109">
        <f>J$2*$C$22</f>
        <v>650</v>
      </c>
    </row>
    <row r="19" spans="1:11" ht="12.75" customHeight="1">
      <c r="A19" s="152"/>
      <c r="B19" s="104" t="s">
        <v>709</v>
      </c>
      <c r="C19" s="106">
        <f>G15/F2</f>
        <v>0.12947415723822014</v>
      </c>
      <c r="D19" s="152"/>
      <c r="E19" s="152"/>
      <c r="F19" s="103" t="s">
        <v>672</v>
      </c>
      <c r="G19" s="109">
        <f>F2-SUM(G15:G18)</f>
        <v>4964.2067420942385</v>
      </c>
      <c r="H19" s="103" t="s">
        <v>672</v>
      </c>
      <c r="I19" s="109">
        <f>H2-SUM(I15:I18)</f>
        <v>7999.9999999999982</v>
      </c>
      <c r="J19" s="103" t="s">
        <v>672</v>
      </c>
      <c r="K19" s="112">
        <f>J2-SUM(K15:K18)</f>
        <v>8066.8359559031378</v>
      </c>
    </row>
    <row r="20" spans="1:11" ht="12.75" customHeight="1">
      <c r="A20" s="152"/>
      <c r="B20" s="104" t="s">
        <v>669</v>
      </c>
      <c r="C20" s="107">
        <v>0.1</v>
      </c>
      <c r="D20" s="152"/>
      <c r="E20" s="152"/>
      <c r="F20" s="152"/>
      <c r="G20" s="152"/>
      <c r="H20" s="152"/>
      <c r="I20" s="152"/>
      <c r="J20" s="152"/>
      <c r="K20" s="152"/>
    </row>
    <row r="21" spans="1:11" ht="12.75" customHeight="1">
      <c r="A21" s="152"/>
      <c r="B21" s="104" t="s">
        <v>676</v>
      </c>
      <c r="C21" s="107">
        <v>0.1</v>
      </c>
      <c r="D21" s="152"/>
      <c r="E21" s="152"/>
      <c r="F21" s="152"/>
      <c r="G21" s="152"/>
      <c r="H21" s="152"/>
      <c r="I21" s="152"/>
      <c r="J21" s="152"/>
      <c r="K21" s="152"/>
    </row>
    <row r="22" spans="1:11" ht="12.75" customHeight="1">
      <c r="A22" s="152"/>
      <c r="B22" s="104" t="s">
        <v>671</v>
      </c>
      <c r="C22" s="107">
        <v>0.05</v>
      </c>
      <c r="D22" s="152"/>
      <c r="E22" s="152"/>
      <c r="F22" s="152"/>
      <c r="G22" s="152"/>
      <c r="H22" s="152"/>
      <c r="I22" s="152"/>
      <c r="J22" s="152"/>
      <c r="K22" s="152"/>
    </row>
    <row r="23" spans="1:11" ht="12.75" customHeight="1">
      <c r="A23" s="152"/>
      <c r="B23" s="104" t="s">
        <v>652</v>
      </c>
      <c r="C23" s="109">
        <f>C18/(1-SUM(C19:C22))</f>
        <v>12892.291422375461</v>
      </c>
      <c r="D23" s="152"/>
      <c r="E23" s="152"/>
      <c r="F23" s="152"/>
      <c r="G23" s="152"/>
      <c r="H23" s="152"/>
      <c r="I23" s="152"/>
      <c r="J23" s="152"/>
      <c r="K23" s="152"/>
    </row>
    <row r="24" spans="1:11" ht="12.75" customHeight="1">
      <c r="A24" s="152"/>
      <c r="B24" s="103" t="s">
        <v>694</v>
      </c>
      <c r="C24" s="112">
        <f>J2</f>
        <v>13000</v>
      </c>
      <c r="D24" s="152"/>
      <c r="E24" s="152"/>
      <c r="F24" s="152"/>
      <c r="G24" s="152"/>
      <c r="H24" s="152"/>
      <c r="I24" s="152"/>
      <c r="J24" s="152"/>
      <c r="K24" s="152"/>
    </row>
    <row r="25" spans="1:11" ht="12.75" customHeight="1">
      <c r="A25" s="152"/>
      <c r="B25" s="104" t="s">
        <v>677</v>
      </c>
      <c r="C25" s="107">
        <f>(C24/C18)-1</f>
        <v>0.625</v>
      </c>
      <c r="D25" s="152"/>
      <c r="E25" s="152"/>
      <c r="F25" s="152"/>
      <c r="G25" s="152"/>
      <c r="H25" s="152"/>
      <c r="I25" s="152"/>
      <c r="J25" s="152"/>
      <c r="K25" s="152"/>
    </row>
    <row r="34" spans="2:11" ht="12.75" customHeight="1">
      <c r="B34" s="97"/>
      <c r="C34" s="97"/>
      <c r="D34" s="97"/>
      <c r="E34" s="97"/>
      <c r="F34" s="97"/>
      <c r="G34" s="97"/>
      <c r="H34" s="97"/>
      <c r="I34" s="97"/>
      <c r="J34" s="97"/>
      <c r="K34" s="98"/>
    </row>
  </sheetData>
  <mergeCells count="11">
    <mergeCell ref="A15:E15"/>
    <mergeCell ref="A16:A25"/>
    <mergeCell ref="D16:E25"/>
    <mergeCell ref="F20:K25"/>
    <mergeCell ref="A1:E2"/>
    <mergeCell ref="F1:G1"/>
    <mergeCell ref="H1:I1"/>
    <mergeCell ref="J1:K1"/>
    <mergeCell ref="F2:G2"/>
    <mergeCell ref="H2:I2"/>
    <mergeCell ref="J2:K2"/>
  </mergeCells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8"/>
  <sheetViews>
    <sheetView workbookViewId="0">
      <selection activeCell="P19" sqref="P19"/>
    </sheetView>
  </sheetViews>
  <sheetFormatPr baseColWidth="10" defaultRowHeight="15" x14ac:dyDescent="0"/>
  <cols>
    <col min="1" max="1" width="35.1640625" customWidth="1"/>
    <col min="2" max="2" width="4.1640625" customWidth="1"/>
    <col min="3" max="3" width="8.33203125" customWidth="1"/>
    <col min="4" max="4" width="10.1640625" customWidth="1"/>
    <col min="5" max="5" width="11" customWidth="1"/>
    <col min="6" max="6" width="13" customWidth="1"/>
    <col min="7" max="7" width="13.83203125" customWidth="1"/>
    <col min="8" max="9" width="11.6640625" customWidth="1"/>
    <col min="10" max="10" width="7.33203125" customWidth="1"/>
    <col min="11" max="11" width="8.33203125" customWidth="1"/>
    <col min="12" max="13" width="9.33203125" customWidth="1"/>
    <col min="14" max="14" width="10.33203125" customWidth="1"/>
    <col min="15" max="15" width="11.33203125" customWidth="1"/>
    <col min="16" max="16" width="11.83203125" customWidth="1"/>
    <col min="17" max="17" width="13" customWidth="1"/>
    <col min="18" max="18" width="14.83203125" customWidth="1"/>
    <col min="19" max="19" width="8.1640625" customWidth="1"/>
    <col min="20" max="20" width="11" customWidth="1"/>
    <col min="21" max="27" width="3.1640625" customWidth="1"/>
    <col min="28" max="29" width="4.1640625" customWidth="1"/>
    <col min="30" max="30" width="5.1640625" customWidth="1"/>
    <col min="31" max="31" width="10.83203125" customWidth="1"/>
    <col min="32" max="32" width="21.1640625" customWidth="1"/>
    <col min="33" max="33" width="21" customWidth="1"/>
    <col min="34" max="34" width="21.1640625" customWidth="1"/>
    <col min="35" max="35" width="21" customWidth="1"/>
    <col min="36" max="36" width="21.1640625" customWidth="1"/>
    <col min="37" max="37" width="21" customWidth="1"/>
    <col min="38" max="38" width="21.1640625" customWidth="1"/>
    <col min="39" max="39" width="21" customWidth="1"/>
    <col min="40" max="40" width="21.1640625" customWidth="1"/>
    <col min="41" max="41" width="21" customWidth="1"/>
    <col min="42" max="42" width="21.1640625" customWidth="1"/>
    <col min="43" max="43" width="21" customWidth="1"/>
    <col min="44" max="44" width="21.1640625" customWidth="1"/>
    <col min="45" max="45" width="21" customWidth="1"/>
    <col min="46" max="46" width="21.1640625" bestFit="1" customWidth="1"/>
    <col min="47" max="47" width="21" customWidth="1"/>
    <col min="48" max="48" width="21.1640625" bestFit="1" customWidth="1"/>
    <col min="49" max="49" width="21" customWidth="1"/>
    <col min="50" max="50" width="21.1640625" customWidth="1"/>
    <col min="51" max="51" width="21" bestFit="1" customWidth="1"/>
    <col min="52" max="52" width="21.1640625" customWidth="1"/>
    <col min="53" max="53" width="21" customWidth="1"/>
    <col min="54" max="54" width="21.1640625" customWidth="1"/>
    <col min="55" max="55" width="21" bestFit="1" customWidth="1"/>
    <col min="56" max="56" width="21.1640625" customWidth="1"/>
    <col min="57" max="57" width="21" customWidth="1"/>
    <col min="58" max="58" width="21.1640625" customWidth="1"/>
    <col min="59" max="59" width="21" customWidth="1"/>
    <col min="60" max="61" width="25.6640625" customWidth="1"/>
    <col min="62" max="62" width="18.83203125" bestFit="1" customWidth="1"/>
    <col min="63" max="64" width="35" bestFit="1" customWidth="1"/>
    <col min="65" max="65" width="43" bestFit="1" customWidth="1"/>
    <col min="66" max="66" width="27.5" bestFit="1" customWidth="1"/>
    <col min="67" max="67" width="19.5" bestFit="1" customWidth="1"/>
    <col min="68" max="68" width="34" bestFit="1" customWidth="1"/>
    <col min="69" max="69" width="39.33203125" bestFit="1" customWidth="1"/>
    <col min="70" max="70" width="27" bestFit="1" customWidth="1"/>
    <col min="71" max="71" width="35.33203125" bestFit="1" customWidth="1"/>
    <col min="72" max="73" width="37.1640625" bestFit="1" customWidth="1"/>
    <col min="74" max="74" width="41.1640625" bestFit="1" customWidth="1"/>
    <col min="75" max="75" width="30.1640625" bestFit="1" customWidth="1"/>
    <col min="76" max="76" width="15.1640625" bestFit="1" customWidth="1"/>
    <col min="77" max="77" width="46.6640625" bestFit="1" customWidth="1"/>
    <col min="78" max="78" width="39.6640625" bestFit="1" customWidth="1"/>
    <col min="79" max="79" width="41.6640625" bestFit="1" customWidth="1"/>
    <col min="80" max="80" width="39.83203125" bestFit="1" customWidth="1"/>
    <col min="81" max="81" width="34.1640625" bestFit="1" customWidth="1"/>
    <col min="82" max="82" width="17" bestFit="1" customWidth="1"/>
    <col min="83" max="83" width="46.5" bestFit="1" customWidth="1"/>
    <col min="84" max="84" width="46" bestFit="1" customWidth="1"/>
    <col min="85" max="85" width="21.83203125" bestFit="1" customWidth="1"/>
    <col min="86" max="86" width="48.1640625" bestFit="1" customWidth="1"/>
    <col min="87" max="87" width="37.6640625" bestFit="1" customWidth="1"/>
    <col min="88" max="88" width="17.5" bestFit="1" customWidth="1"/>
    <col min="89" max="89" width="19.5" bestFit="1" customWidth="1"/>
    <col min="90" max="90" width="29" bestFit="1" customWidth="1"/>
    <col min="91" max="91" width="27.5" bestFit="1" customWidth="1"/>
    <col min="92" max="92" width="18.6640625" bestFit="1" customWidth="1"/>
    <col min="93" max="93" width="14.33203125" bestFit="1" customWidth="1"/>
    <col min="94" max="94" width="45.5" bestFit="1" customWidth="1"/>
    <col min="95" max="95" width="41.83203125" bestFit="1" customWidth="1"/>
    <col min="96" max="96" width="18" bestFit="1" customWidth="1"/>
    <col min="97" max="97" width="23.33203125" bestFit="1" customWidth="1"/>
    <col min="98" max="98" width="29.5" bestFit="1" customWidth="1"/>
    <col min="99" max="99" width="52.83203125" bestFit="1" customWidth="1"/>
    <col min="100" max="100" width="53.1640625" bestFit="1" customWidth="1"/>
    <col min="101" max="101" width="17.5" bestFit="1" customWidth="1"/>
    <col min="102" max="102" width="50.5" bestFit="1" customWidth="1"/>
    <col min="103" max="103" width="39.6640625" bestFit="1" customWidth="1"/>
  </cols>
  <sheetData>
    <row r="2" spans="1:20">
      <c r="B2" s="66" t="s">
        <v>696</v>
      </c>
    </row>
    <row r="3" spans="1:20" s="56" customFormat="1" ht="30">
      <c r="A3" s="57" t="s">
        <v>678</v>
      </c>
      <c r="B3" s="56" t="s">
        <v>637</v>
      </c>
      <c r="C3" t="s">
        <v>700</v>
      </c>
      <c r="D3" t="s">
        <v>697</v>
      </c>
      <c r="E3" t="s">
        <v>698</v>
      </c>
      <c r="F3" s="56" t="s">
        <v>699</v>
      </c>
      <c r="G3" s="56" t="s">
        <v>701</v>
      </c>
      <c r="H3" s="56" t="s">
        <v>703</v>
      </c>
      <c r="I3" s="56" t="s">
        <v>704</v>
      </c>
      <c r="J3" t="s">
        <v>627</v>
      </c>
      <c r="K3" t="s">
        <v>628</v>
      </c>
      <c r="L3" t="s">
        <v>629</v>
      </c>
      <c r="M3" t="s">
        <v>630</v>
      </c>
      <c r="N3" t="s">
        <v>631</v>
      </c>
      <c r="O3" t="s">
        <v>632</v>
      </c>
      <c r="P3" t="s">
        <v>705</v>
      </c>
      <c r="Q3" t="s">
        <v>633</v>
      </c>
      <c r="R3" t="s">
        <v>706</v>
      </c>
      <c r="S3" t="s">
        <v>634</v>
      </c>
      <c r="T3" s="56" t="s">
        <v>707</v>
      </c>
    </row>
    <row r="4" spans="1:20">
      <c r="A4" s="50" t="s">
        <v>620</v>
      </c>
      <c r="B4" s="47">
        <v>13</v>
      </c>
      <c r="C4" s="36">
        <v>453.84615384615387</v>
      </c>
      <c r="D4" s="36">
        <v>575.84615384615381</v>
      </c>
      <c r="E4" s="51">
        <v>17</v>
      </c>
      <c r="F4" s="36">
        <v>33.873303167420815</v>
      </c>
      <c r="G4" s="67">
        <v>4.0372670807453416E-2</v>
      </c>
      <c r="H4" s="51">
        <v>5.615384615384615</v>
      </c>
      <c r="I4" s="51">
        <v>4</v>
      </c>
      <c r="J4" s="54">
        <v>9.5022624434389136E-2</v>
      </c>
      <c r="K4" s="54">
        <v>0.14479638009049775</v>
      </c>
      <c r="L4" s="54">
        <v>0.34389140271493213</v>
      </c>
      <c r="M4" s="54">
        <v>0.17194570135746606</v>
      </c>
      <c r="N4" s="54">
        <v>5.4298642533936653E-2</v>
      </c>
      <c r="O4" s="54">
        <v>9.0497737556561094E-3</v>
      </c>
      <c r="P4" s="54">
        <v>0</v>
      </c>
      <c r="Q4" s="54">
        <v>0</v>
      </c>
      <c r="R4" s="54">
        <v>0</v>
      </c>
      <c r="S4" s="54">
        <v>0</v>
      </c>
      <c r="T4" s="54">
        <v>0.18099547511312217</v>
      </c>
    </row>
    <row r="5" spans="1:20">
      <c r="A5" s="50" t="s">
        <v>621</v>
      </c>
      <c r="B5" s="47">
        <v>70</v>
      </c>
      <c r="C5" s="36">
        <v>3260.5285714285715</v>
      </c>
      <c r="D5" s="36">
        <v>3813.7142857142858</v>
      </c>
      <c r="E5" s="51">
        <v>68.528571428571425</v>
      </c>
      <c r="F5" s="36">
        <v>55.651448822180527</v>
      </c>
      <c r="G5" s="67">
        <v>8.3546684779769065E-2</v>
      </c>
      <c r="H5" s="51">
        <v>9.1285714285714281</v>
      </c>
      <c r="I5" s="51">
        <v>7.0428571428571427</v>
      </c>
      <c r="J5" s="54">
        <v>5.315822388993121E-2</v>
      </c>
      <c r="K5" s="54">
        <v>0.13633520950594122</v>
      </c>
      <c r="L5" s="54">
        <v>0.3800291849072337</v>
      </c>
      <c r="M5" s="54">
        <v>0.18407337919533043</v>
      </c>
      <c r="N5" s="54">
        <v>9.4017094017094016E-2</v>
      </c>
      <c r="O5" s="54">
        <v>3.1269543464665414E-2</v>
      </c>
      <c r="P5" s="54">
        <v>1.4175526370648322E-2</v>
      </c>
      <c r="Q5" s="54">
        <v>2.5015634771732333E-3</v>
      </c>
      <c r="R5" s="54">
        <v>4.1692724619553888E-4</v>
      </c>
      <c r="S5" s="54">
        <v>0</v>
      </c>
      <c r="T5" s="54">
        <v>0.10402334792578695</v>
      </c>
    </row>
    <row r="6" spans="1:20">
      <c r="A6" s="50" t="s">
        <v>622</v>
      </c>
      <c r="B6" s="47">
        <v>12</v>
      </c>
      <c r="C6" s="36">
        <v>9522.5833333333339</v>
      </c>
      <c r="D6" s="36">
        <v>13546.75</v>
      </c>
      <c r="E6" s="51">
        <v>195.58333333333334</v>
      </c>
      <c r="F6" s="36">
        <v>69.263314870046869</v>
      </c>
      <c r="G6" s="67">
        <v>0.14067369935267321</v>
      </c>
      <c r="H6" s="51">
        <v>14.75</v>
      </c>
      <c r="I6" s="51">
        <v>11.083333333333334</v>
      </c>
      <c r="J6" s="54">
        <v>0.15210907541542396</v>
      </c>
      <c r="K6" s="54">
        <v>8.7771623348956121E-2</v>
      </c>
      <c r="L6" s="54">
        <v>0.33574776310183213</v>
      </c>
      <c r="M6" s="54">
        <v>0.18193438432040904</v>
      </c>
      <c r="N6" s="54">
        <v>0.11077971878994461</v>
      </c>
      <c r="O6" s="54">
        <v>3.7068598210481467E-2</v>
      </c>
      <c r="P6" s="54">
        <v>1.3208351086493396E-2</v>
      </c>
      <c r="Q6" s="54">
        <v>5.9650617809970177E-3</v>
      </c>
      <c r="R6" s="54">
        <v>1.2782275244993609E-3</v>
      </c>
      <c r="S6" s="54">
        <v>8.5215168299957388E-4</v>
      </c>
      <c r="T6" s="54">
        <v>7.3285044737963351E-2</v>
      </c>
    </row>
    <row r="7" spans="1:20">
      <c r="A7" s="50" t="s">
        <v>623</v>
      </c>
      <c r="B7" s="47">
        <v>5</v>
      </c>
      <c r="C7" s="36">
        <v>17900</v>
      </c>
      <c r="D7" s="36">
        <v>22973.8</v>
      </c>
      <c r="E7" s="51">
        <v>321.39999999999998</v>
      </c>
      <c r="F7" s="36">
        <v>71.480398257622895</v>
      </c>
      <c r="G7" s="67">
        <v>0.42569536423841059</v>
      </c>
      <c r="H7" s="51">
        <v>16.399999999999999</v>
      </c>
      <c r="I7" s="51">
        <v>12.4</v>
      </c>
      <c r="J7" s="54">
        <v>1.0578718108276292E-2</v>
      </c>
      <c r="K7" s="54">
        <v>0.12570006222775357</v>
      </c>
      <c r="L7" s="54">
        <v>0.39514623522090853</v>
      </c>
      <c r="M7" s="54">
        <v>0.30242688238954574</v>
      </c>
      <c r="N7" s="54">
        <v>6.7828251400124454E-2</v>
      </c>
      <c r="O7" s="54">
        <v>2.924704418170504E-2</v>
      </c>
      <c r="P7" s="54">
        <v>8.0896079651524583E-3</v>
      </c>
      <c r="Q7" s="54">
        <v>3.7336652146857498E-3</v>
      </c>
      <c r="R7" s="54">
        <v>6.222775357809583E-4</v>
      </c>
      <c r="S7" s="54">
        <v>1.2445550715619166E-3</v>
      </c>
      <c r="T7" s="54">
        <v>5.5382700684505293E-2</v>
      </c>
    </row>
    <row r="8" spans="1:20">
      <c r="A8" s="50" t="s">
        <v>598</v>
      </c>
      <c r="B8" s="47">
        <v>100</v>
      </c>
      <c r="C8" s="36">
        <v>4379.08</v>
      </c>
      <c r="D8" s="36">
        <v>5518.76</v>
      </c>
      <c r="E8" s="51">
        <v>89.72</v>
      </c>
      <c r="F8" s="36">
        <v>61.510922871154705</v>
      </c>
      <c r="G8" s="67">
        <v>0.10764247150569886</v>
      </c>
      <c r="H8" s="51">
        <v>9.7100000000000009</v>
      </c>
      <c r="I8" s="51">
        <v>7.4</v>
      </c>
      <c r="J8" s="54">
        <v>7.2447614801604998E-2</v>
      </c>
      <c r="K8" s="54">
        <v>0.12193490860454748</v>
      </c>
      <c r="L8" s="54">
        <v>0.37026304057066428</v>
      </c>
      <c r="M8" s="54">
        <v>0.20441373160945162</v>
      </c>
      <c r="N8" s="54">
        <v>9.2732946946054398E-2</v>
      </c>
      <c r="O8" s="54">
        <v>3.1876950512706198E-2</v>
      </c>
      <c r="P8" s="54">
        <v>1.2483281319661168E-2</v>
      </c>
      <c r="Q8" s="54">
        <v>3.5666518056174765E-3</v>
      </c>
      <c r="R8" s="54">
        <v>6.6874721355327687E-4</v>
      </c>
      <c r="S8" s="54">
        <v>4.4583147570218456E-4</v>
      </c>
      <c r="T8" s="54">
        <v>8.9166295140436919E-2</v>
      </c>
    </row>
    <row r="28" spans="3:3">
      <c r="C28">
        <v>100</v>
      </c>
    </row>
    <row r="39" spans="1:2">
      <c r="A39" s="1" t="s">
        <v>679</v>
      </c>
    </row>
    <row r="40" spans="1:2">
      <c r="A40" t="s">
        <v>678</v>
      </c>
      <c r="B40" t="s">
        <v>680</v>
      </c>
    </row>
    <row r="41" spans="1:2">
      <c r="A41" t="s">
        <v>637</v>
      </c>
      <c r="B41" t="s">
        <v>681</v>
      </c>
    </row>
    <row r="42" spans="1:2">
      <c r="A42" t="s">
        <v>2</v>
      </c>
      <c r="B42" t="s">
        <v>682</v>
      </c>
    </row>
    <row r="43" spans="1:2">
      <c r="A43" t="s">
        <v>3</v>
      </c>
      <c r="B43" t="s">
        <v>683</v>
      </c>
    </row>
    <row r="44" spans="1:2">
      <c r="A44" t="s">
        <v>684</v>
      </c>
      <c r="B44" t="s">
        <v>685</v>
      </c>
    </row>
    <row r="45" spans="1:2">
      <c r="A45" t="s">
        <v>603</v>
      </c>
      <c r="B45" t="s">
        <v>686</v>
      </c>
    </row>
    <row r="46" spans="1:2">
      <c r="A46" t="s">
        <v>635</v>
      </c>
      <c r="B46" t="s">
        <v>687</v>
      </c>
    </row>
    <row r="47" spans="1:2">
      <c r="A47" t="s">
        <v>636</v>
      </c>
      <c r="B47" t="s">
        <v>688</v>
      </c>
    </row>
    <row r="48" spans="1:2">
      <c r="A48" t="s">
        <v>689</v>
      </c>
      <c r="B48" t="s">
        <v>708</v>
      </c>
    </row>
  </sheetData>
  <pageMargins left="0.75" right="0.75" top="1" bottom="1" header="0.5" footer="0.5"/>
  <pageSetup orientation="portrait" horizontalDpi="4294967292" verticalDpi="4294967292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8"/>
  <sheetViews>
    <sheetView workbookViewId="0">
      <selection activeCell="D34" sqref="D34"/>
    </sheetView>
  </sheetViews>
  <sheetFormatPr baseColWidth="10" defaultRowHeight="15" x14ac:dyDescent="0"/>
  <cols>
    <col min="1" max="1" width="31.83203125" customWidth="1"/>
    <col min="2" max="2" width="4.6640625" customWidth="1"/>
    <col min="3" max="3" width="9.5" customWidth="1"/>
    <col min="4" max="4" width="11.6640625" customWidth="1"/>
    <col min="5" max="5" width="12.5" customWidth="1"/>
    <col min="6" max="6" width="18.83203125" customWidth="1"/>
    <col min="7" max="7" width="13.83203125" hidden="1" customWidth="1"/>
    <col min="8" max="9" width="11.6640625" hidden="1" customWidth="1"/>
    <col min="10" max="10" width="7.33203125" hidden="1" customWidth="1"/>
    <col min="11" max="11" width="8.33203125" hidden="1" customWidth="1"/>
    <col min="12" max="13" width="9.33203125" hidden="1" customWidth="1"/>
    <col min="14" max="14" width="10.33203125" hidden="1" customWidth="1"/>
    <col min="15" max="15" width="11.33203125" hidden="1" customWidth="1"/>
    <col min="16" max="16" width="11.83203125" hidden="1" customWidth="1"/>
    <col min="17" max="17" width="13" hidden="1" customWidth="1"/>
    <col min="18" max="18" width="14.83203125" hidden="1" customWidth="1"/>
    <col min="19" max="19" width="8.1640625" hidden="1" customWidth="1"/>
    <col min="20" max="20" width="11" hidden="1" customWidth="1"/>
    <col min="21" max="27" width="3.1640625" customWidth="1"/>
    <col min="28" max="29" width="4.1640625" customWidth="1"/>
    <col min="30" max="30" width="5.1640625" customWidth="1"/>
    <col min="31" max="31" width="10.83203125" customWidth="1"/>
    <col min="32" max="32" width="21.1640625" customWidth="1"/>
    <col min="33" max="33" width="21" customWidth="1"/>
    <col min="34" max="34" width="21.1640625" customWidth="1"/>
    <col min="35" max="35" width="21" customWidth="1"/>
    <col min="36" max="36" width="21.1640625" customWidth="1"/>
    <col min="37" max="37" width="21" customWidth="1"/>
    <col min="38" max="38" width="21.1640625" customWidth="1"/>
    <col min="39" max="39" width="21" customWidth="1"/>
    <col min="40" max="40" width="21.1640625" customWidth="1"/>
    <col min="41" max="41" width="21" customWidth="1"/>
    <col min="42" max="42" width="21.1640625" customWidth="1"/>
    <col min="43" max="43" width="21" customWidth="1"/>
    <col min="44" max="44" width="21.1640625" customWidth="1"/>
    <col min="45" max="45" width="21" customWidth="1"/>
    <col min="46" max="46" width="21.1640625" bestFit="1" customWidth="1"/>
    <col min="47" max="47" width="21" customWidth="1"/>
    <col min="48" max="48" width="21.1640625" bestFit="1" customWidth="1"/>
    <col min="49" max="49" width="21" customWidth="1"/>
    <col min="50" max="50" width="21.1640625" customWidth="1"/>
    <col min="51" max="51" width="21" bestFit="1" customWidth="1"/>
    <col min="52" max="52" width="21.1640625" customWidth="1"/>
    <col min="53" max="53" width="21" customWidth="1"/>
    <col min="54" max="54" width="21.1640625" customWidth="1"/>
    <col min="55" max="55" width="21" bestFit="1" customWidth="1"/>
    <col min="56" max="56" width="21.1640625" customWidth="1"/>
    <col min="57" max="57" width="21" customWidth="1"/>
    <col min="58" max="58" width="21.1640625" customWidth="1"/>
    <col min="59" max="59" width="21" customWidth="1"/>
    <col min="60" max="61" width="25.6640625" customWidth="1"/>
    <col min="62" max="62" width="18.83203125" bestFit="1" customWidth="1"/>
    <col min="63" max="64" width="35" bestFit="1" customWidth="1"/>
    <col min="65" max="65" width="43" bestFit="1" customWidth="1"/>
    <col min="66" max="66" width="27.5" bestFit="1" customWidth="1"/>
    <col min="67" max="67" width="19.5" bestFit="1" customWidth="1"/>
    <col min="68" max="68" width="34" bestFit="1" customWidth="1"/>
    <col min="69" max="69" width="39.33203125" bestFit="1" customWidth="1"/>
    <col min="70" max="70" width="27" bestFit="1" customWidth="1"/>
    <col min="71" max="71" width="35.33203125" bestFit="1" customWidth="1"/>
    <col min="72" max="73" width="37.1640625" bestFit="1" customWidth="1"/>
    <col min="74" max="74" width="41.1640625" bestFit="1" customWidth="1"/>
    <col min="75" max="75" width="30.1640625" bestFit="1" customWidth="1"/>
    <col min="76" max="76" width="15.1640625" bestFit="1" customWidth="1"/>
    <col min="77" max="77" width="46.6640625" bestFit="1" customWidth="1"/>
    <col min="78" max="78" width="39.6640625" bestFit="1" customWidth="1"/>
    <col min="79" max="79" width="41.6640625" bestFit="1" customWidth="1"/>
    <col min="80" max="80" width="39.83203125" bestFit="1" customWidth="1"/>
    <col min="81" max="81" width="34.1640625" bestFit="1" customWidth="1"/>
    <col min="82" max="82" width="17" bestFit="1" customWidth="1"/>
    <col min="83" max="83" width="46.5" bestFit="1" customWidth="1"/>
    <col min="84" max="84" width="46" bestFit="1" customWidth="1"/>
    <col min="85" max="85" width="21.83203125" bestFit="1" customWidth="1"/>
    <col min="86" max="86" width="48.1640625" bestFit="1" customWidth="1"/>
    <col min="87" max="87" width="37.6640625" bestFit="1" customWidth="1"/>
    <col min="88" max="88" width="17.5" bestFit="1" customWidth="1"/>
    <col min="89" max="89" width="19.5" bestFit="1" customWidth="1"/>
    <col min="90" max="90" width="29" bestFit="1" customWidth="1"/>
    <col min="91" max="91" width="27.5" bestFit="1" customWidth="1"/>
    <col min="92" max="92" width="18.6640625" bestFit="1" customWidth="1"/>
    <col min="93" max="93" width="14.33203125" bestFit="1" customWidth="1"/>
    <col min="94" max="94" width="45.5" bestFit="1" customWidth="1"/>
    <col min="95" max="95" width="41.83203125" bestFit="1" customWidth="1"/>
    <col min="96" max="96" width="18" bestFit="1" customWidth="1"/>
    <col min="97" max="97" width="23.33203125" bestFit="1" customWidth="1"/>
    <col min="98" max="98" width="29.5" bestFit="1" customWidth="1"/>
    <col min="99" max="99" width="52.83203125" bestFit="1" customWidth="1"/>
    <col min="100" max="100" width="53.1640625" bestFit="1" customWidth="1"/>
    <col min="101" max="101" width="17.5" bestFit="1" customWidth="1"/>
    <col min="102" max="102" width="50.5" bestFit="1" customWidth="1"/>
    <col min="103" max="103" width="39.6640625" bestFit="1" customWidth="1"/>
  </cols>
  <sheetData>
    <row r="2" spans="1:20">
      <c r="B2" s="81" t="s">
        <v>710</v>
      </c>
    </row>
    <row r="3" spans="1:20" s="56" customFormat="1" ht="31">
      <c r="A3" s="82" t="s">
        <v>678</v>
      </c>
      <c r="B3" s="74" t="s">
        <v>637</v>
      </c>
      <c r="C3" s="75" t="s">
        <v>700</v>
      </c>
      <c r="D3" s="75" t="s">
        <v>697</v>
      </c>
      <c r="E3" s="75" t="s">
        <v>698</v>
      </c>
      <c r="F3" s="74" t="s">
        <v>699</v>
      </c>
      <c r="G3" s="56" t="s">
        <v>701</v>
      </c>
      <c r="H3" s="56" t="s">
        <v>703</v>
      </c>
      <c r="I3" s="56" t="s">
        <v>704</v>
      </c>
      <c r="J3" t="s">
        <v>627</v>
      </c>
      <c r="K3" t="s">
        <v>628</v>
      </c>
      <c r="L3" t="s">
        <v>629</v>
      </c>
      <c r="M3" t="s">
        <v>630</v>
      </c>
      <c r="N3" t="s">
        <v>631</v>
      </c>
      <c r="O3" t="s">
        <v>632</v>
      </c>
      <c r="P3" t="s">
        <v>705</v>
      </c>
      <c r="Q3" t="s">
        <v>633</v>
      </c>
      <c r="R3" t="s">
        <v>706</v>
      </c>
      <c r="S3" t="s">
        <v>634</v>
      </c>
      <c r="T3" s="56" t="s">
        <v>707</v>
      </c>
    </row>
    <row r="4" spans="1:20" ht="18">
      <c r="A4" s="76" t="s">
        <v>620</v>
      </c>
      <c r="B4" s="77">
        <v>13</v>
      </c>
      <c r="C4" s="78">
        <v>453.84615384615387</v>
      </c>
      <c r="D4" s="78">
        <v>575.84615384615381</v>
      </c>
      <c r="E4" s="79">
        <v>17</v>
      </c>
      <c r="F4" s="78">
        <v>33.873303167420815</v>
      </c>
      <c r="G4" s="67">
        <v>4.0372670807453416E-2</v>
      </c>
      <c r="H4" s="51">
        <v>5.615384615384615</v>
      </c>
      <c r="I4" s="51">
        <v>4</v>
      </c>
      <c r="J4" s="54">
        <v>9.5022624434389136E-2</v>
      </c>
      <c r="K4" s="54">
        <v>0.14479638009049775</v>
      </c>
      <c r="L4" s="54">
        <v>0.34389140271493213</v>
      </c>
      <c r="M4" s="54">
        <v>0.17194570135746606</v>
      </c>
      <c r="N4" s="54">
        <v>5.4298642533936653E-2</v>
      </c>
      <c r="O4" s="54">
        <v>9.0497737556561094E-3</v>
      </c>
      <c r="P4" s="54">
        <v>0</v>
      </c>
      <c r="Q4" s="54">
        <v>0</v>
      </c>
      <c r="R4" s="54">
        <v>0</v>
      </c>
      <c r="S4" s="54">
        <v>0</v>
      </c>
      <c r="T4" s="54">
        <v>0.18099547511312217</v>
      </c>
    </row>
    <row r="5" spans="1:20" ht="18">
      <c r="A5" s="80" t="s">
        <v>26</v>
      </c>
      <c r="B5" s="77">
        <v>1</v>
      </c>
      <c r="C5" s="78">
        <v>250</v>
      </c>
      <c r="D5" s="78">
        <v>305</v>
      </c>
      <c r="E5" s="79">
        <v>14</v>
      </c>
      <c r="F5" s="78">
        <v>21.785714285714285</v>
      </c>
      <c r="G5" s="67">
        <v>1.7565872020075281E-2</v>
      </c>
      <c r="H5" s="51">
        <v>4</v>
      </c>
      <c r="I5" s="51">
        <v>3</v>
      </c>
      <c r="J5" s="54">
        <v>0</v>
      </c>
      <c r="K5" s="54">
        <v>0.21428571428571427</v>
      </c>
      <c r="L5" s="54">
        <v>0.2857142857142857</v>
      </c>
      <c r="M5" s="54">
        <v>0.21428571428571427</v>
      </c>
      <c r="N5" s="54">
        <v>0</v>
      </c>
      <c r="O5" s="54">
        <v>0</v>
      </c>
      <c r="P5" s="54">
        <v>0</v>
      </c>
      <c r="Q5" s="54">
        <v>0</v>
      </c>
      <c r="R5" s="54">
        <v>0</v>
      </c>
      <c r="S5" s="54">
        <v>0</v>
      </c>
      <c r="T5" s="54">
        <v>0.2857142857142857</v>
      </c>
    </row>
    <row r="6" spans="1:20" ht="18">
      <c r="A6" s="80" t="s">
        <v>65</v>
      </c>
      <c r="B6" s="77">
        <v>2</v>
      </c>
      <c r="C6" s="78">
        <v>550</v>
      </c>
      <c r="D6" s="78">
        <v>715</v>
      </c>
      <c r="E6" s="79">
        <v>27.5</v>
      </c>
      <c r="F6" s="78">
        <v>26</v>
      </c>
      <c r="G6" s="67">
        <v>7.8014184397163122E-2</v>
      </c>
      <c r="H6" s="51">
        <v>4.5</v>
      </c>
      <c r="I6" s="51">
        <v>4.5</v>
      </c>
      <c r="J6" s="54">
        <v>0.21818181818181817</v>
      </c>
      <c r="K6" s="54">
        <v>0.21818181818181817</v>
      </c>
      <c r="L6" s="54">
        <v>0.34545454545454546</v>
      </c>
      <c r="M6" s="54">
        <v>0.12727272727272726</v>
      </c>
      <c r="N6" s="54">
        <v>5.4545454545454543E-2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3.6363636363636362E-2</v>
      </c>
    </row>
    <row r="7" spans="1:20" ht="18">
      <c r="A7" s="80" t="s">
        <v>87</v>
      </c>
      <c r="B7" s="77">
        <v>3</v>
      </c>
      <c r="C7" s="78">
        <v>450</v>
      </c>
      <c r="D7" s="78">
        <v>563.33333333333337</v>
      </c>
      <c r="E7" s="79">
        <v>13.666666666666666</v>
      </c>
      <c r="F7" s="78">
        <v>41.219512195121951</v>
      </c>
      <c r="G7" s="67">
        <v>0.05</v>
      </c>
      <c r="H7" s="51">
        <v>6.333333333333333</v>
      </c>
      <c r="I7" s="51">
        <v>4</v>
      </c>
      <c r="J7" s="54">
        <v>7.3170731707317069E-2</v>
      </c>
      <c r="K7" s="54">
        <v>7.3170731707317069E-2</v>
      </c>
      <c r="L7" s="54">
        <v>0.34146341463414637</v>
      </c>
      <c r="M7" s="54">
        <v>0.26829268292682928</v>
      </c>
      <c r="N7" s="54">
        <v>4.878048780487805E-2</v>
      </c>
      <c r="O7" s="54">
        <v>0</v>
      </c>
      <c r="P7" s="54">
        <v>0</v>
      </c>
      <c r="Q7" s="54">
        <v>0</v>
      </c>
      <c r="R7" s="54">
        <v>0</v>
      </c>
      <c r="S7" s="54">
        <v>0</v>
      </c>
      <c r="T7" s="54">
        <v>0.1951219512195122</v>
      </c>
    </row>
    <row r="8" spans="1:20" ht="18">
      <c r="A8" s="80" t="s">
        <v>11</v>
      </c>
      <c r="B8" s="77">
        <v>2</v>
      </c>
      <c r="C8" s="78">
        <v>675</v>
      </c>
      <c r="D8" s="78">
        <v>700</v>
      </c>
      <c r="E8" s="79">
        <v>20.5</v>
      </c>
      <c r="F8" s="78">
        <v>34.146341463414636</v>
      </c>
      <c r="G8" s="67">
        <v>0.2303370786516854</v>
      </c>
      <c r="H8" s="51">
        <v>6.5</v>
      </c>
      <c r="I8" s="51">
        <v>5.5</v>
      </c>
      <c r="J8" s="54">
        <v>4.878048780487805E-2</v>
      </c>
      <c r="K8" s="54">
        <v>0.26829268292682928</v>
      </c>
      <c r="L8" s="54">
        <v>0.26829268292682928</v>
      </c>
      <c r="M8" s="54">
        <v>0</v>
      </c>
      <c r="N8" s="54">
        <v>0.12195121951219512</v>
      </c>
      <c r="O8" s="54">
        <v>0</v>
      </c>
      <c r="P8" s="54">
        <v>0</v>
      </c>
      <c r="Q8" s="54">
        <v>0</v>
      </c>
      <c r="R8" s="54">
        <v>0</v>
      </c>
      <c r="S8" s="54">
        <v>0</v>
      </c>
      <c r="T8" s="54">
        <v>0.29268292682926828</v>
      </c>
    </row>
    <row r="9" spans="1:20" ht="18">
      <c r="A9" s="80" t="s">
        <v>51</v>
      </c>
      <c r="B9" s="77">
        <v>5</v>
      </c>
      <c r="C9" s="78">
        <v>370</v>
      </c>
      <c r="D9" s="78">
        <v>532.20000000000005</v>
      </c>
      <c r="E9" s="79">
        <v>14</v>
      </c>
      <c r="F9" s="78">
        <v>38.014285714285712</v>
      </c>
      <c r="G9" s="67">
        <v>2.3537323470073975E-2</v>
      </c>
      <c r="H9" s="51">
        <v>5.6</v>
      </c>
      <c r="I9" s="51">
        <v>3.4</v>
      </c>
      <c r="J9" s="54">
        <v>5.7142857142857141E-2</v>
      </c>
      <c r="K9" s="54">
        <v>4.2857142857142858E-2</v>
      </c>
      <c r="L9" s="54">
        <v>0.4</v>
      </c>
      <c r="M9" s="54">
        <v>0.24285714285714285</v>
      </c>
      <c r="N9" s="54">
        <v>2.8571428571428571E-2</v>
      </c>
      <c r="O9" s="54">
        <v>2.8571428571428571E-2</v>
      </c>
      <c r="P9" s="54">
        <v>0</v>
      </c>
      <c r="Q9" s="54">
        <v>0</v>
      </c>
      <c r="R9" s="54">
        <v>0</v>
      </c>
      <c r="S9" s="54">
        <v>0</v>
      </c>
      <c r="T9" s="54">
        <v>0.2</v>
      </c>
    </row>
    <row r="10" spans="1:20" ht="18">
      <c r="A10" s="76" t="s">
        <v>621</v>
      </c>
      <c r="B10" s="77">
        <v>70</v>
      </c>
      <c r="C10" s="78">
        <v>3260.5285714285715</v>
      </c>
      <c r="D10" s="78">
        <v>3813.7142857142858</v>
      </c>
      <c r="E10" s="79">
        <v>68.528571428571425</v>
      </c>
      <c r="F10" s="78">
        <v>55.651448822180527</v>
      </c>
      <c r="G10" s="67">
        <v>8.3546684779769065E-2</v>
      </c>
      <c r="H10" s="51">
        <v>9.1285714285714281</v>
      </c>
      <c r="I10" s="51">
        <v>7.0428571428571427</v>
      </c>
      <c r="J10" s="54">
        <v>5.315822388993121E-2</v>
      </c>
      <c r="K10" s="54">
        <v>0.13633520950594122</v>
      </c>
      <c r="L10" s="54">
        <v>0.3800291849072337</v>
      </c>
      <c r="M10" s="54">
        <v>0.18407337919533043</v>
      </c>
      <c r="N10" s="54">
        <v>9.4017094017094016E-2</v>
      </c>
      <c r="O10" s="54">
        <v>3.1269543464665414E-2</v>
      </c>
      <c r="P10" s="54">
        <v>1.4175526370648322E-2</v>
      </c>
      <c r="Q10" s="54">
        <v>2.5015634771732333E-3</v>
      </c>
      <c r="R10" s="54">
        <v>4.1692724619553888E-4</v>
      </c>
      <c r="S10" s="54">
        <v>0</v>
      </c>
      <c r="T10" s="54">
        <v>0.10402334792578695</v>
      </c>
    </row>
    <row r="11" spans="1:20" ht="18">
      <c r="A11" s="58" t="s">
        <v>26</v>
      </c>
      <c r="B11" s="77">
        <v>8</v>
      </c>
      <c r="C11" s="78">
        <v>2937.5</v>
      </c>
      <c r="D11" s="78">
        <v>3248.25</v>
      </c>
      <c r="E11" s="79">
        <v>43.25</v>
      </c>
      <c r="F11" s="78">
        <v>75.104046242774572</v>
      </c>
      <c r="G11" s="67">
        <v>8.1068416119962516E-2</v>
      </c>
      <c r="H11" s="51">
        <v>7.375</v>
      </c>
      <c r="I11" s="51">
        <v>6.125</v>
      </c>
      <c r="J11" s="54">
        <v>3.4682080924855488E-2</v>
      </c>
      <c r="K11" s="54">
        <v>0.15028901734104047</v>
      </c>
      <c r="L11" s="54">
        <v>0.22832369942196531</v>
      </c>
      <c r="M11" s="54">
        <v>0.27456647398843931</v>
      </c>
      <c r="N11" s="54">
        <v>8.9595375722543349E-2</v>
      </c>
      <c r="O11" s="54">
        <v>4.9132947976878616E-2</v>
      </c>
      <c r="P11" s="54">
        <v>1.4450867052023121E-2</v>
      </c>
      <c r="Q11" s="54">
        <v>2.8901734104046241E-3</v>
      </c>
      <c r="R11" s="54">
        <v>0</v>
      </c>
      <c r="S11" s="54">
        <v>0</v>
      </c>
      <c r="T11" s="54">
        <v>0.15606936416184972</v>
      </c>
    </row>
    <row r="12" spans="1:20" ht="18">
      <c r="A12" s="58" t="s">
        <v>65</v>
      </c>
      <c r="B12" s="77">
        <v>7</v>
      </c>
      <c r="C12" s="78">
        <v>3385.7142857142858</v>
      </c>
      <c r="D12" s="78">
        <v>4207.4285714285716</v>
      </c>
      <c r="E12" s="79">
        <v>75.142857142857139</v>
      </c>
      <c r="F12" s="78">
        <v>55.99239543726236</v>
      </c>
      <c r="G12" s="67">
        <v>7.7615464069647339E-2</v>
      </c>
      <c r="H12" s="51">
        <v>11.428571428571429</v>
      </c>
      <c r="I12" s="51">
        <v>9.1428571428571423</v>
      </c>
      <c r="J12" s="54">
        <v>4.1825095057034217E-2</v>
      </c>
      <c r="K12" s="54">
        <v>0.12927756653992395</v>
      </c>
      <c r="L12" s="54">
        <v>0.4144486692015209</v>
      </c>
      <c r="M12" s="54">
        <v>0.16539923954372623</v>
      </c>
      <c r="N12" s="54">
        <v>8.5551330798479083E-2</v>
      </c>
      <c r="O12" s="54">
        <v>4.9429657794676805E-2</v>
      </c>
      <c r="P12" s="54">
        <v>9.5057034220532317E-3</v>
      </c>
      <c r="Q12" s="54">
        <v>9.5057034220532317E-3</v>
      </c>
      <c r="R12" s="54">
        <v>0</v>
      </c>
      <c r="S12" s="54">
        <v>0</v>
      </c>
      <c r="T12" s="54">
        <v>9.5057034220532313E-2</v>
      </c>
    </row>
    <row r="13" spans="1:20" ht="18">
      <c r="A13" s="58" t="s">
        <v>110</v>
      </c>
      <c r="B13" s="77">
        <v>1</v>
      </c>
      <c r="C13" s="78">
        <v>3250</v>
      </c>
      <c r="D13" s="78">
        <v>4434</v>
      </c>
      <c r="E13" s="79">
        <v>108</v>
      </c>
      <c r="F13" s="78">
        <v>41.055555555555557</v>
      </c>
      <c r="G13" s="68" t="e">
        <v>#DIV/0!</v>
      </c>
      <c r="H13" s="51">
        <v>8</v>
      </c>
      <c r="I13" s="51">
        <v>8</v>
      </c>
      <c r="J13" s="54">
        <v>0</v>
      </c>
      <c r="K13" s="54">
        <v>6.4814814814814811E-2</v>
      </c>
      <c r="L13" s="54">
        <v>0.56481481481481477</v>
      </c>
      <c r="M13" s="54">
        <v>0.24074074074074073</v>
      </c>
      <c r="N13" s="54">
        <v>7.407407407407407E-2</v>
      </c>
      <c r="O13" s="54">
        <v>1.8518518518518517E-2</v>
      </c>
      <c r="P13" s="54">
        <v>1.8518518518518517E-2</v>
      </c>
      <c r="Q13" s="54">
        <v>0</v>
      </c>
      <c r="R13" s="54">
        <v>0</v>
      </c>
      <c r="S13" s="54">
        <v>0</v>
      </c>
      <c r="T13" s="54">
        <v>1.8518518518518517E-2</v>
      </c>
    </row>
    <row r="14" spans="1:20" ht="18">
      <c r="A14" s="58" t="s">
        <v>60</v>
      </c>
      <c r="B14" s="77">
        <v>3</v>
      </c>
      <c r="C14" s="78">
        <v>2166.6666666666665</v>
      </c>
      <c r="D14" s="78">
        <v>2466.6666666666665</v>
      </c>
      <c r="E14" s="79">
        <v>53</v>
      </c>
      <c r="F14" s="78">
        <v>46.540880503144656</v>
      </c>
      <c r="G14" s="67">
        <v>2.9937864808887216E-2</v>
      </c>
      <c r="H14" s="51">
        <v>5</v>
      </c>
      <c r="I14" s="51">
        <v>4</v>
      </c>
      <c r="J14" s="54">
        <v>2.5157232704402517E-2</v>
      </c>
      <c r="K14" s="54">
        <v>0.20125786163522014</v>
      </c>
      <c r="L14" s="54">
        <v>0.23270440251572327</v>
      </c>
      <c r="M14" s="54">
        <v>0.16352201257861634</v>
      </c>
      <c r="N14" s="54">
        <v>0.14465408805031446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0.23270440251572327</v>
      </c>
    </row>
    <row r="15" spans="1:20" ht="18">
      <c r="A15" s="58" t="s">
        <v>87</v>
      </c>
      <c r="B15" s="77">
        <v>12</v>
      </c>
      <c r="C15" s="78">
        <v>3541.6666666666665</v>
      </c>
      <c r="D15" s="78">
        <v>4144.5</v>
      </c>
      <c r="E15" s="79">
        <v>86</v>
      </c>
      <c r="F15" s="78">
        <v>48.191860465116278</v>
      </c>
      <c r="G15" s="67">
        <v>0.11464119084647856</v>
      </c>
      <c r="H15" s="51">
        <v>10.333333333333334</v>
      </c>
      <c r="I15" s="51">
        <v>7.75</v>
      </c>
      <c r="J15" s="54">
        <v>7.0736434108527133E-2</v>
      </c>
      <c r="K15" s="54">
        <v>0.19961240310077519</v>
      </c>
      <c r="L15" s="54">
        <v>0.31492248062015504</v>
      </c>
      <c r="M15" s="54">
        <v>0.20155038759689922</v>
      </c>
      <c r="N15" s="54">
        <v>9.3023255813953487E-2</v>
      </c>
      <c r="O15" s="54">
        <v>1.937984496124031E-2</v>
      </c>
      <c r="P15" s="54">
        <v>1.7441860465116279E-2</v>
      </c>
      <c r="Q15" s="54">
        <v>9.6899224806201549E-4</v>
      </c>
      <c r="R15" s="54">
        <v>0</v>
      </c>
      <c r="S15" s="54">
        <v>0</v>
      </c>
      <c r="T15" s="54">
        <v>8.2364341085271311E-2</v>
      </c>
    </row>
    <row r="16" spans="1:20" ht="18">
      <c r="A16" s="58" t="s">
        <v>190</v>
      </c>
      <c r="B16" s="77">
        <v>2</v>
      </c>
      <c r="C16" s="78">
        <v>2800</v>
      </c>
      <c r="D16" s="78">
        <v>3326.5</v>
      </c>
      <c r="E16" s="79">
        <v>58</v>
      </c>
      <c r="F16" s="78">
        <v>57.353448275862071</v>
      </c>
      <c r="G16" s="67">
        <v>4.619673436877738E-2</v>
      </c>
      <c r="H16" s="51">
        <v>8</v>
      </c>
      <c r="I16" s="51">
        <v>6.5</v>
      </c>
      <c r="J16" s="54">
        <v>2.5862068965517241E-2</v>
      </c>
      <c r="K16" s="54">
        <v>0.25</v>
      </c>
      <c r="L16" s="54">
        <v>0.22413793103448276</v>
      </c>
      <c r="M16" s="54">
        <v>0.15517241379310345</v>
      </c>
      <c r="N16" s="54">
        <v>0.10344827586206896</v>
      </c>
      <c r="O16" s="54">
        <v>1.7241379310344827E-2</v>
      </c>
      <c r="P16" s="54">
        <v>2.5862068965517241E-2</v>
      </c>
      <c r="Q16" s="54">
        <v>8.6206896551724137E-3</v>
      </c>
      <c r="R16" s="54">
        <v>0</v>
      </c>
      <c r="S16" s="54">
        <v>0</v>
      </c>
      <c r="T16" s="54">
        <v>0.18965517241379309</v>
      </c>
    </row>
    <row r="17" spans="1:20" ht="18">
      <c r="A17" s="58" t="s">
        <v>11</v>
      </c>
      <c r="B17" s="77">
        <v>18</v>
      </c>
      <c r="C17" s="78">
        <v>3981.4444444444443</v>
      </c>
      <c r="D17" s="78">
        <v>4554.1111111111113</v>
      </c>
      <c r="E17" s="79">
        <v>74.444444444444443</v>
      </c>
      <c r="F17" s="78">
        <v>61.174626865671641</v>
      </c>
      <c r="G17" s="67">
        <v>9.5244864595920103E-2</v>
      </c>
      <c r="H17" s="51">
        <v>9.3333333333333339</v>
      </c>
      <c r="I17" s="51">
        <v>7.1111111111111107</v>
      </c>
      <c r="J17" s="54">
        <v>2.7611940298507463E-2</v>
      </c>
      <c r="K17" s="54">
        <v>0.11641791044776119</v>
      </c>
      <c r="L17" s="54">
        <v>0.47462686567164181</v>
      </c>
      <c r="M17" s="54">
        <v>0.12313432835820895</v>
      </c>
      <c r="N17" s="54">
        <v>9.4776119402985068E-2</v>
      </c>
      <c r="O17" s="54">
        <v>3.3582089552238806E-2</v>
      </c>
      <c r="P17" s="54">
        <v>1.0447761194029851E-2</v>
      </c>
      <c r="Q17" s="54">
        <v>2.9850746268656717E-3</v>
      </c>
      <c r="R17" s="54">
        <v>1.4925373134328358E-3</v>
      </c>
      <c r="S17" s="54">
        <v>0</v>
      </c>
      <c r="T17" s="54">
        <v>0.11492537313432835</v>
      </c>
    </row>
    <row r="18" spans="1:20" ht="18">
      <c r="A18" s="58" t="s">
        <v>74</v>
      </c>
      <c r="B18" s="77">
        <v>3</v>
      </c>
      <c r="C18" s="78">
        <v>2183.3333333333335</v>
      </c>
      <c r="D18" s="78">
        <v>3541</v>
      </c>
      <c r="E18" s="79">
        <v>96</v>
      </c>
      <c r="F18" s="78">
        <v>36.885416666666664</v>
      </c>
      <c r="G18" s="67">
        <v>0.13591316658801322</v>
      </c>
      <c r="H18" s="51">
        <v>9</v>
      </c>
      <c r="I18" s="51">
        <v>7.333333333333333</v>
      </c>
      <c r="J18" s="54">
        <v>0.25</v>
      </c>
      <c r="K18" s="54">
        <v>0.1736111111111111</v>
      </c>
      <c r="L18" s="54">
        <v>0.2951388888888889</v>
      </c>
      <c r="M18" s="54">
        <v>0.15277777777777779</v>
      </c>
      <c r="N18" s="54">
        <v>6.25E-2</v>
      </c>
      <c r="O18" s="54">
        <v>2.0833333333333332E-2</v>
      </c>
      <c r="P18" s="54">
        <v>6.9444444444444441E-3</v>
      </c>
      <c r="Q18" s="54">
        <v>0</v>
      </c>
      <c r="R18" s="54">
        <v>0</v>
      </c>
      <c r="S18" s="54">
        <v>0</v>
      </c>
      <c r="T18" s="54">
        <v>3.8194444444444448E-2</v>
      </c>
    </row>
    <row r="19" spans="1:20" ht="18">
      <c r="A19" s="58" t="s">
        <v>51</v>
      </c>
      <c r="B19" s="77">
        <v>11</v>
      </c>
      <c r="C19" s="78">
        <v>2479.181818181818</v>
      </c>
      <c r="D19" s="78">
        <v>2730.5454545454545</v>
      </c>
      <c r="E19" s="79">
        <v>40.454545454545453</v>
      </c>
      <c r="F19" s="78">
        <v>67.496629213483146</v>
      </c>
      <c r="G19" s="67">
        <v>9.0557590557590564E-2</v>
      </c>
      <c r="H19" s="51">
        <v>9.1818181818181817</v>
      </c>
      <c r="I19" s="51">
        <v>6.4545454545454541</v>
      </c>
      <c r="J19" s="54">
        <v>4.9438202247191011E-2</v>
      </c>
      <c r="K19" s="54">
        <v>4.9438202247191011E-2</v>
      </c>
      <c r="L19" s="54">
        <v>0.36629213483146067</v>
      </c>
      <c r="M19" s="54">
        <v>0.18876404494382024</v>
      </c>
      <c r="N19" s="54">
        <v>0.11685393258426967</v>
      </c>
      <c r="O19" s="54">
        <v>5.8426966292134834E-2</v>
      </c>
      <c r="P19" s="54">
        <v>1.7977528089887642E-2</v>
      </c>
      <c r="Q19" s="54">
        <v>0</v>
      </c>
      <c r="R19" s="54">
        <v>0</v>
      </c>
      <c r="S19" s="54">
        <v>0</v>
      </c>
      <c r="T19" s="54">
        <v>0.15280898876404495</v>
      </c>
    </row>
    <row r="20" spans="1:20" ht="18">
      <c r="A20" s="58" t="s">
        <v>269</v>
      </c>
      <c r="B20" s="77">
        <v>5</v>
      </c>
      <c r="C20" s="78">
        <v>3540</v>
      </c>
      <c r="D20" s="78">
        <v>4133.6000000000004</v>
      </c>
      <c r="E20" s="79">
        <v>87.4</v>
      </c>
      <c r="F20" s="78">
        <v>47.295194508009153</v>
      </c>
      <c r="G20" s="67">
        <v>5.174046886099929E-2</v>
      </c>
      <c r="H20" s="51">
        <v>8.1999999999999993</v>
      </c>
      <c r="I20" s="51">
        <v>6.6</v>
      </c>
      <c r="J20" s="54">
        <v>2.2883295194508008E-2</v>
      </c>
      <c r="K20" s="54">
        <v>7.3226544622425629E-2</v>
      </c>
      <c r="L20" s="54">
        <v>0.4416475972540046</v>
      </c>
      <c r="M20" s="54">
        <v>0.2974828375286041</v>
      </c>
      <c r="N20" s="54">
        <v>8.924485125858124E-2</v>
      </c>
      <c r="O20" s="54">
        <v>1.3729977116704805E-2</v>
      </c>
      <c r="P20" s="54">
        <v>2.5171624713958809E-2</v>
      </c>
      <c r="Q20" s="54">
        <v>0</v>
      </c>
      <c r="R20" s="54">
        <v>0</v>
      </c>
      <c r="S20" s="54">
        <v>0</v>
      </c>
      <c r="T20" s="54">
        <v>3.6613272311212815E-2</v>
      </c>
    </row>
    <row r="21" spans="1:20" ht="18">
      <c r="A21" s="76" t="s">
        <v>622</v>
      </c>
      <c r="B21" s="77">
        <v>12</v>
      </c>
      <c r="C21" s="78">
        <v>9522.5833333333339</v>
      </c>
      <c r="D21" s="78">
        <v>13546.75</v>
      </c>
      <c r="E21" s="79">
        <v>195.58333333333334</v>
      </c>
      <c r="F21" s="78">
        <v>69.263314870046869</v>
      </c>
      <c r="G21" s="67">
        <v>0.14067369935267321</v>
      </c>
      <c r="H21" s="51">
        <v>14.75</v>
      </c>
      <c r="I21" s="51">
        <v>11.083333333333334</v>
      </c>
      <c r="J21" s="54">
        <v>0.15210907541542396</v>
      </c>
      <c r="K21" s="54">
        <v>8.7771623348956121E-2</v>
      </c>
      <c r="L21" s="54">
        <v>0.33574776310183213</v>
      </c>
      <c r="M21" s="54">
        <v>0.18193438432040904</v>
      </c>
      <c r="N21" s="54">
        <v>0.11077971878994461</v>
      </c>
      <c r="O21" s="54">
        <v>3.7068598210481467E-2</v>
      </c>
      <c r="P21" s="54">
        <v>1.3208351086493396E-2</v>
      </c>
      <c r="Q21" s="54">
        <v>5.9650617809970177E-3</v>
      </c>
      <c r="R21" s="54">
        <v>1.2782275244993609E-3</v>
      </c>
      <c r="S21" s="54">
        <v>8.5215168299957388E-4</v>
      </c>
      <c r="T21" s="54">
        <v>7.3285044737963351E-2</v>
      </c>
    </row>
    <row r="22" spans="1:20" ht="18">
      <c r="A22" s="58" t="s">
        <v>65</v>
      </c>
      <c r="B22" s="77">
        <v>3</v>
      </c>
      <c r="C22" s="78">
        <v>9333.3333333333339</v>
      </c>
      <c r="D22" s="78">
        <v>12431.666666666666</v>
      </c>
      <c r="E22" s="79">
        <v>124</v>
      </c>
      <c r="F22" s="78">
        <v>100.25537634408602</v>
      </c>
      <c r="G22" s="67">
        <v>9.735671290238157E-2</v>
      </c>
      <c r="H22" s="51">
        <v>9.3333333333333339</v>
      </c>
      <c r="I22" s="51">
        <v>7.666666666666667</v>
      </c>
      <c r="J22" s="54">
        <v>2.6881720430107529E-3</v>
      </c>
      <c r="K22" s="54">
        <v>0.19623655913978494</v>
      </c>
      <c r="L22" s="54">
        <v>0.29032258064516131</v>
      </c>
      <c r="M22" s="54">
        <v>0.25268817204301075</v>
      </c>
      <c r="N22" s="54">
        <v>8.8709677419354843E-2</v>
      </c>
      <c r="O22" s="54">
        <v>1.8817204301075269E-2</v>
      </c>
      <c r="P22" s="54">
        <v>4.0322580645161289E-2</v>
      </c>
      <c r="Q22" s="54">
        <v>2.6881720430107529E-3</v>
      </c>
      <c r="R22" s="54">
        <v>0</v>
      </c>
      <c r="S22" s="54">
        <v>0</v>
      </c>
      <c r="T22" s="54">
        <v>0.10752688172043011</v>
      </c>
    </row>
    <row r="23" spans="1:20" ht="18">
      <c r="A23" s="58" t="s">
        <v>87</v>
      </c>
      <c r="B23" s="77">
        <v>1</v>
      </c>
      <c r="C23" s="78">
        <v>6500</v>
      </c>
      <c r="D23" s="78">
        <v>17935</v>
      </c>
      <c r="E23" s="79">
        <v>106</v>
      </c>
      <c r="F23" s="78">
        <v>169.19811320754718</v>
      </c>
      <c r="G23" s="67">
        <v>3.8756855575868374E-2</v>
      </c>
      <c r="H23" s="51">
        <v>25</v>
      </c>
      <c r="I23" s="51">
        <v>14</v>
      </c>
      <c r="J23" s="54">
        <v>0</v>
      </c>
      <c r="K23" s="54">
        <v>0</v>
      </c>
      <c r="L23" s="54">
        <v>0.44339622641509435</v>
      </c>
      <c r="M23" s="54">
        <v>6.6037735849056603E-2</v>
      </c>
      <c r="N23" s="54">
        <v>0.15094339622641509</v>
      </c>
      <c r="O23" s="54">
        <v>0.16981132075471697</v>
      </c>
      <c r="P23" s="54">
        <v>4.716981132075472E-2</v>
      </c>
      <c r="Q23" s="54">
        <v>9.433962264150943E-3</v>
      </c>
      <c r="R23" s="54">
        <v>0</v>
      </c>
      <c r="S23" s="54">
        <v>0</v>
      </c>
      <c r="T23" s="54">
        <v>0.11320754716981132</v>
      </c>
    </row>
    <row r="24" spans="1:20" ht="18">
      <c r="A24" s="58" t="s">
        <v>190</v>
      </c>
      <c r="B24" s="77">
        <v>1</v>
      </c>
      <c r="C24" s="78">
        <v>10000</v>
      </c>
      <c r="D24" s="78">
        <v>10647</v>
      </c>
      <c r="E24" s="79">
        <v>155</v>
      </c>
      <c r="F24" s="78">
        <v>68.690322580645159</v>
      </c>
      <c r="G24" s="67">
        <v>0.70135746606334837</v>
      </c>
      <c r="H24" s="51">
        <v>12</v>
      </c>
      <c r="I24" s="51">
        <v>7</v>
      </c>
      <c r="J24" s="54">
        <v>0</v>
      </c>
      <c r="K24" s="54">
        <v>0.19354838709677419</v>
      </c>
      <c r="L24" s="54">
        <v>0.44516129032258067</v>
      </c>
      <c r="M24" s="54">
        <v>0.16129032258064516</v>
      </c>
      <c r="N24" s="54">
        <v>0.10967741935483871</v>
      </c>
      <c r="O24" s="54">
        <v>0</v>
      </c>
      <c r="P24" s="54">
        <v>6.4516129032258064E-3</v>
      </c>
      <c r="Q24" s="54">
        <v>6.4516129032258064E-3</v>
      </c>
      <c r="R24" s="54">
        <v>0</v>
      </c>
      <c r="S24" s="54">
        <v>0</v>
      </c>
      <c r="T24" s="54">
        <v>7.7419354838709681E-2</v>
      </c>
    </row>
    <row r="25" spans="1:20" ht="18">
      <c r="A25" s="58" t="s">
        <v>11</v>
      </c>
      <c r="B25" s="77">
        <v>3</v>
      </c>
      <c r="C25" s="78">
        <v>11257</v>
      </c>
      <c r="D25" s="78">
        <v>13227.333333333334</v>
      </c>
      <c r="E25" s="79">
        <v>143.66666666666666</v>
      </c>
      <c r="F25" s="78">
        <v>92.069605568445482</v>
      </c>
      <c r="G25" s="67">
        <v>0.18690372940156114</v>
      </c>
      <c r="H25" s="51">
        <v>11.666666666666666</v>
      </c>
      <c r="I25" s="51">
        <v>9.3333333333333339</v>
      </c>
      <c r="J25" s="54">
        <v>3.248259860788863E-2</v>
      </c>
      <c r="K25" s="54">
        <v>0.1716937354988399</v>
      </c>
      <c r="L25" s="54">
        <v>0.26682134570765659</v>
      </c>
      <c r="M25" s="54">
        <v>0.16241299303944315</v>
      </c>
      <c r="N25" s="54">
        <v>0.12993039443155452</v>
      </c>
      <c r="O25" s="54">
        <v>2.3201856148491878E-2</v>
      </c>
      <c r="P25" s="54">
        <v>1.1600928074245939E-2</v>
      </c>
      <c r="Q25" s="54">
        <v>1.6241299303944315E-2</v>
      </c>
      <c r="R25" s="54">
        <v>0</v>
      </c>
      <c r="S25" s="54">
        <v>2.3201856148491878E-3</v>
      </c>
      <c r="T25" s="54">
        <v>0.18329466357308585</v>
      </c>
    </row>
    <row r="26" spans="1:20" ht="18">
      <c r="A26" s="58" t="s">
        <v>74</v>
      </c>
      <c r="B26" s="77">
        <v>1</v>
      </c>
      <c r="C26" s="78">
        <v>6000</v>
      </c>
      <c r="D26" s="78">
        <v>14804</v>
      </c>
      <c r="E26" s="79">
        <v>668</v>
      </c>
      <c r="F26" s="78">
        <v>22.161676646706585</v>
      </c>
      <c r="G26" s="67">
        <v>0.23554301833568406</v>
      </c>
      <c r="H26" s="51">
        <v>14</v>
      </c>
      <c r="I26" s="51">
        <v>13</v>
      </c>
      <c r="J26" s="54">
        <v>0.43862275449101795</v>
      </c>
      <c r="K26" s="54">
        <v>0</v>
      </c>
      <c r="L26" s="54">
        <v>0.41017964071856289</v>
      </c>
      <c r="M26" s="54">
        <v>6.1377245508982034E-2</v>
      </c>
      <c r="N26" s="54">
        <v>6.4371257485029934E-2</v>
      </c>
      <c r="O26" s="54">
        <v>1.7964071856287425E-2</v>
      </c>
      <c r="P26" s="54">
        <v>0</v>
      </c>
      <c r="Q26" s="54">
        <v>1.4970059880239522E-3</v>
      </c>
      <c r="R26" s="54">
        <v>0</v>
      </c>
      <c r="S26" s="54">
        <v>0</v>
      </c>
      <c r="T26" s="54">
        <v>5.9880239520958087E-3</v>
      </c>
    </row>
    <row r="27" spans="1:20" ht="18">
      <c r="A27" s="58" t="s">
        <v>51</v>
      </c>
      <c r="B27" s="77">
        <v>3</v>
      </c>
      <c r="C27" s="78">
        <v>10000</v>
      </c>
      <c r="D27" s="78">
        <v>14066</v>
      </c>
      <c r="E27" s="79">
        <v>205</v>
      </c>
      <c r="F27" s="78">
        <v>68.614634146341459</v>
      </c>
      <c r="G27" s="67">
        <v>0.12906610703043023</v>
      </c>
      <c r="H27" s="51">
        <v>21</v>
      </c>
      <c r="I27" s="51">
        <v>16</v>
      </c>
      <c r="J27" s="54">
        <v>7.9674796747967486E-2</v>
      </c>
      <c r="K27" s="54">
        <v>4.715447154471545E-2</v>
      </c>
      <c r="L27" s="54">
        <v>0.28455284552845528</v>
      </c>
      <c r="M27" s="54">
        <v>0.30894308943089432</v>
      </c>
      <c r="N27" s="54">
        <v>0.15447154471544716</v>
      </c>
      <c r="O27" s="54">
        <v>6.5040650406504072E-2</v>
      </c>
      <c r="P27" s="54">
        <v>8.130081300813009E-3</v>
      </c>
      <c r="Q27" s="54">
        <v>4.8780487804878049E-3</v>
      </c>
      <c r="R27" s="54">
        <v>4.8780487804878049E-3</v>
      </c>
      <c r="S27" s="54">
        <v>1.6260162601626016E-3</v>
      </c>
      <c r="T27" s="54">
        <v>4.065040650406504E-2</v>
      </c>
    </row>
    <row r="28" spans="1:20" ht="18">
      <c r="A28" s="76" t="s">
        <v>623</v>
      </c>
      <c r="B28" s="77">
        <v>5</v>
      </c>
      <c r="C28" s="78">
        <v>17900</v>
      </c>
      <c r="D28" s="78">
        <v>22973.8</v>
      </c>
      <c r="E28" s="79">
        <v>321.39999999999998</v>
      </c>
      <c r="F28" s="78">
        <v>71.480398257622895</v>
      </c>
      <c r="G28" s="67">
        <v>0.42569536423841059</v>
      </c>
      <c r="H28" s="51">
        <v>16.399999999999999</v>
      </c>
      <c r="I28" s="51">
        <v>12.4</v>
      </c>
      <c r="J28" s="54">
        <v>1.0578718108276292E-2</v>
      </c>
      <c r="K28" s="54">
        <v>0.12570006222775357</v>
      </c>
      <c r="L28" s="54">
        <v>0.39514623522090853</v>
      </c>
      <c r="M28" s="54">
        <v>0.30242688238954574</v>
      </c>
      <c r="N28" s="54">
        <v>6.7828251400124454E-2</v>
      </c>
      <c r="O28" s="54">
        <v>2.924704418170504E-2</v>
      </c>
      <c r="P28" s="54">
        <v>8.0896079651524583E-3</v>
      </c>
      <c r="Q28" s="54">
        <v>3.7336652146857498E-3</v>
      </c>
      <c r="R28" s="54">
        <v>6.222775357809583E-4</v>
      </c>
      <c r="S28" s="54">
        <v>1.2445550715619166E-3</v>
      </c>
      <c r="T28" s="54">
        <v>5.5382700684505293E-2</v>
      </c>
    </row>
    <row r="29" spans="1:20" ht="18">
      <c r="A29" s="58" t="s">
        <v>65</v>
      </c>
      <c r="B29" s="77">
        <v>1</v>
      </c>
      <c r="C29" s="78">
        <v>15000</v>
      </c>
      <c r="D29" s="78">
        <v>21611</v>
      </c>
      <c r="E29" s="79">
        <v>515</v>
      </c>
      <c r="F29" s="78">
        <v>41.963106796116506</v>
      </c>
      <c r="G29" s="68" t="e">
        <v>#DIV/0!</v>
      </c>
      <c r="H29" s="51">
        <v>11</v>
      </c>
      <c r="I29" s="51">
        <v>8</v>
      </c>
      <c r="J29" s="54">
        <v>1.9417475728155339E-3</v>
      </c>
      <c r="K29" s="54">
        <v>0.22524271844660193</v>
      </c>
      <c r="L29" s="54">
        <v>0.35145631067961164</v>
      </c>
      <c r="M29" s="54">
        <v>0.30485436893203882</v>
      </c>
      <c r="N29" s="54">
        <v>6.2135922330097085E-2</v>
      </c>
      <c r="O29" s="54">
        <v>3.6893203883495145E-2</v>
      </c>
      <c r="P29" s="54">
        <v>0</v>
      </c>
      <c r="Q29" s="54">
        <v>0</v>
      </c>
      <c r="R29" s="54">
        <v>0</v>
      </c>
      <c r="S29" s="54">
        <v>0</v>
      </c>
      <c r="T29" s="54">
        <v>1.7475728155339806E-2</v>
      </c>
    </row>
    <row r="30" spans="1:20" ht="18">
      <c r="A30" s="58" t="s">
        <v>87</v>
      </c>
      <c r="B30" s="77">
        <v>2</v>
      </c>
      <c r="C30" s="78">
        <v>22500</v>
      </c>
      <c r="D30" s="78">
        <v>23765</v>
      </c>
      <c r="E30" s="79">
        <v>77.5</v>
      </c>
      <c r="F30" s="78">
        <v>306.64516129032256</v>
      </c>
      <c r="G30" s="67">
        <v>0.10861948142957253</v>
      </c>
      <c r="H30" s="51">
        <v>11.5</v>
      </c>
      <c r="I30" s="51">
        <v>8.5</v>
      </c>
      <c r="J30" s="54">
        <v>6.4516129032258063E-2</v>
      </c>
      <c r="K30" s="54">
        <v>3.2258064516129031E-2</v>
      </c>
      <c r="L30" s="54">
        <v>0.2</v>
      </c>
      <c r="M30" s="54">
        <v>0.23225806451612904</v>
      </c>
      <c r="N30" s="54">
        <v>9.6774193548387094E-2</v>
      </c>
      <c r="O30" s="54">
        <v>5.1612903225806452E-2</v>
      </c>
      <c r="P30" s="54">
        <v>1.2903225806451613E-2</v>
      </c>
      <c r="Q30" s="54">
        <v>1.2903225806451613E-2</v>
      </c>
      <c r="R30" s="54">
        <v>0</v>
      </c>
      <c r="S30" s="54">
        <v>6.4516129032258064E-3</v>
      </c>
      <c r="T30" s="54">
        <v>0.29032258064516131</v>
      </c>
    </row>
    <row r="31" spans="1:20" ht="18">
      <c r="A31" s="58" t="s">
        <v>11</v>
      </c>
      <c r="B31" s="77">
        <v>1</v>
      </c>
      <c r="C31" s="78">
        <v>10000</v>
      </c>
      <c r="D31" s="78">
        <v>21090</v>
      </c>
      <c r="E31" s="79">
        <v>575</v>
      </c>
      <c r="F31" s="78">
        <v>36.678260869565214</v>
      </c>
      <c r="G31" s="67">
        <v>0.62229437229437234</v>
      </c>
      <c r="H31" s="51">
        <v>19</v>
      </c>
      <c r="I31" s="51">
        <v>14</v>
      </c>
      <c r="J31" s="54">
        <v>1.0434782608695653E-2</v>
      </c>
      <c r="K31" s="54">
        <v>0</v>
      </c>
      <c r="L31" s="54">
        <v>0.44347826086956521</v>
      </c>
      <c r="M31" s="54">
        <v>0.44521739130434784</v>
      </c>
      <c r="N31" s="54">
        <v>4.5217391304347827E-2</v>
      </c>
      <c r="O31" s="54">
        <v>2.4347826086956521E-2</v>
      </c>
      <c r="P31" s="54">
        <v>8.6956521739130436E-3</v>
      </c>
      <c r="Q31" s="54">
        <v>0</v>
      </c>
      <c r="R31" s="54">
        <v>0</v>
      </c>
      <c r="S31" s="54">
        <v>0</v>
      </c>
      <c r="T31" s="54">
        <v>2.2608695652173914E-2</v>
      </c>
    </row>
    <row r="32" spans="1:20" ht="18">
      <c r="A32" s="58" t="s">
        <v>74</v>
      </c>
      <c r="B32" s="77">
        <v>1</v>
      </c>
      <c r="C32" s="78">
        <v>19500</v>
      </c>
      <c r="D32" s="78">
        <v>24638</v>
      </c>
      <c r="E32" s="79">
        <v>362</v>
      </c>
      <c r="F32" s="78">
        <v>68.060773480662988</v>
      </c>
      <c r="G32" s="67">
        <v>0.2542134831460674</v>
      </c>
      <c r="H32" s="51">
        <v>29</v>
      </c>
      <c r="I32" s="51">
        <v>23</v>
      </c>
      <c r="J32" s="54">
        <v>0</v>
      </c>
      <c r="K32" s="54">
        <v>0.22375690607734808</v>
      </c>
      <c r="L32" s="54">
        <v>0.46408839779005523</v>
      </c>
      <c r="M32" s="54">
        <v>0.10220994475138122</v>
      </c>
      <c r="N32" s="54">
        <v>9.9447513812154692E-2</v>
      </c>
      <c r="O32" s="54">
        <v>1.6574585635359115E-2</v>
      </c>
      <c r="P32" s="54">
        <v>1.6574585635359115E-2</v>
      </c>
      <c r="Q32" s="54">
        <v>1.1049723756906077E-2</v>
      </c>
      <c r="R32" s="54">
        <v>2.7624309392265192E-3</v>
      </c>
      <c r="S32" s="54">
        <v>2.7624309392265192E-3</v>
      </c>
      <c r="T32" s="54">
        <v>6.0773480662983423E-2</v>
      </c>
    </row>
    <row r="33" spans="1:20" ht="18">
      <c r="A33" s="76" t="s">
        <v>598</v>
      </c>
      <c r="B33" s="77">
        <v>100</v>
      </c>
      <c r="C33" s="78">
        <v>4379.08</v>
      </c>
      <c r="D33" s="78">
        <v>5518.76</v>
      </c>
      <c r="E33" s="79">
        <v>89.72</v>
      </c>
      <c r="F33" s="78">
        <v>61.510922871154705</v>
      </c>
      <c r="G33" s="67">
        <v>0.10764247150569886</v>
      </c>
      <c r="H33" s="51">
        <v>9.7100000000000009</v>
      </c>
      <c r="I33" s="51">
        <v>7.4</v>
      </c>
      <c r="J33" s="54">
        <v>7.2447614801604998E-2</v>
      </c>
      <c r="K33" s="54">
        <v>0.12193490860454748</v>
      </c>
      <c r="L33" s="54">
        <v>0.37026304057066428</v>
      </c>
      <c r="M33" s="54">
        <v>0.20441373160945162</v>
      </c>
      <c r="N33" s="54">
        <v>9.2732946946054398E-2</v>
      </c>
      <c r="O33" s="54">
        <v>3.1876950512706198E-2</v>
      </c>
      <c r="P33" s="54">
        <v>1.2483281319661168E-2</v>
      </c>
      <c r="Q33" s="54">
        <v>3.5666518056174765E-3</v>
      </c>
      <c r="R33" s="54">
        <v>6.6874721355327687E-4</v>
      </c>
      <c r="S33" s="54">
        <v>4.4583147570218456E-4</v>
      </c>
      <c r="T33" s="54">
        <v>8.9166295140436919E-2</v>
      </c>
    </row>
    <row r="39" spans="1:20">
      <c r="A39" s="1" t="s">
        <v>679</v>
      </c>
    </row>
    <row r="40" spans="1:20">
      <c r="A40" t="s">
        <v>678</v>
      </c>
      <c r="B40" t="s">
        <v>680</v>
      </c>
    </row>
    <row r="41" spans="1:20">
      <c r="A41" t="s">
        <v>637</v>
      </c>
      <c r="B41" t="s">
        <v>681</v>
      </c>
    </row>
    <row r="42" spans="1:20">
      <c r="A42" t="s">
        <v>2</v>
      </c>
      <c r="B42" t="s">
        <v>682</v>
      </c>
    </row>
    <row r="43" spans="1:20">
      <c r="A43" t="s">
        <v>3</v>
      </c>
      <c r="B43" t="s">
        <v>683</v>
      </c>
    </row>
    <row r="44" spans="1:20">
      <c r="A44" t="s">
        <v>684</v>
      </c>
      <c r="B44" t="s">
        <v>685</v>
      </c>
    </row>
    <row r="45" spans="1:20">
      <c r="A45" t="s">
        <v>603</v>
      </c>
      <c r="B45" t="s">
        <v>686</v>
      </c>
    </row>
    <row r="46" spans="1:20">
      <c r="A46" t="s">
        <v>635</v>
      </c>
      <c r="B46" t="s">
        <v>687</v>
      </c>
    </row>
    <row r="47" spans="1:20">
      <c r="A47" t="s">
        <v>636</v>
      </c>
      <c r="B47" t="s">
        <v>688</v>
      </c>
    </row>
    <row r="48" spans="1:20">
      <c r="A48" t="s">
        <v>689</v>
      </c>
      <c r="B48" t="s">
        <v>708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8"/>
  <sheetViews>
    <sheetView workbookViewId="0">
      <selection activeCell="Q20" sqref="Q20"/>
    </sheetView>
  </sheetViews>
  <sheetFormatPr baseColWidth="10" defaultRowHeight="15" x14ac:dyDescent="0"/>
  <cols>
    <col min="1" max="1" width="28.1640625" style="83" customWidth="1"/>
    <col min="2" max="2" width="4.6640625" style="83" customWidth="1"/>
    <col min="3" max="9" width="9.1640625" style="83" hidden="1" customWidth="1"/>
    <col min="10" max="10" width="9" style="83" customWidth="1"/>
    <col min="11" max="11" width="10" style="83" customWidth="1"/>
    <col min="12" max="14" width="9" style="83" customWidth="1"/>
    <col min="15" max="16" width="7.6640625" style="83" customWidth="1"/>
    <col min="17" max="19" width="8.83203125" style="83" customWidth="1"/>
    <col min="20" max="20" width="9" style="83" customWidth="1"/>
    <col min="21" max="27" width="3.1640625" style="83" customWidth="1"/>
    <col min="28" max="29" width="4.1640625" style="83" customWidth="1"/>
    <col min="30" max="30" width="5.1640625" style="83" customWidth="1"/>
    <col min="31" max="31" width="10.83203125" style="83" customWidth="1"/>
    <col min="32" max="32" width="21.1640625" style="83" customWidth="1"/>
    <col min="33" max="33" width="21" style="83" customWidth="1"/>
    <col min="34" max="34" width="21.1640625" style="83" customWidth="1"/>
    <col min="35" max="35" width="21" style="83" customWidth="1"/>
    <col min="36" max="36" width="21.1640625" style="83" customWidth="1"/>
    <col min="37" max="37" width="21" style="83" customWidth="1"/>
    <col min="38" max="38" width="21.1640625" style="83" customWidth="1"/>
    <col min="39" max="39" width="21" style="83" customWidth="1"/>
    <col min="40" max="40" width="21.1640625" style="83" customWidth="1"/>
    <col min="41" max="41" width="21" style="83" customWidth="1"/>
    <col min="42" max="42" width="21.1640625" style="83" customWidth="1"/>
    <col min="43" max="43" width="21" style="83" customWidth="1"/>
    <col min="44" max="44" width="21.1640625" style="83" customWidth="1"/>
    <col min="45" max="45" width="21" style="83" customWidth="1"/>
    <col min="46" max="46" width="21.1640625" style="83" bestFit="1" customWidth="1"/>
    <col min="47" max="47" width="21" style="83" customWidth="1"/>
    <col min="48" max="48" width="21.1640625" style="83" bestFit="1" customWidth="1"/>
    <col min="49" max="49" width="21" style="83" customWidth="1"/>
    <col min="50" max="50" width="21.1640625" style="83" customWidth="1"/>
    <col min="51" max="51" width="21" style="83" bestFit="1" customWidth="1"/>
    <col min="52" max="52" width="21.1640625" style="83" customWidth="1"/>
    <col min="53" max="53" width="21" style="83" customWidth="1"/>
    <col min="54" max="54" width="21.1640625" style="83" customWidth="1"/>
    <col min="55" max="55" width="21" style="83" bestFit="1" customWidth="1"/>
    <col min="56" max="56" width="21.1640625" style="83" customWidth="1"/>
    <col min="57" max="57" width="21" style="83" customWidth="1"/>
    <col min="58" max="58" width="21.1640625" style="83" customWidth="1"/>
    <col min="59" max="59" width="21" style="83" customWidth="1"/>
    <col min="60" max="61" width="25.6640625" style="83" customWidth="1"/>
    <col min="62" max="62" width="18.83203125" style="83" bestFit="1" customWidth="1"/>
    <col min="63" max="64" width="35" style="83" bestFit="1" customWidth="1"/>
    <col min="65" max="65" width="43" style="83" bestFit="1" customWidth="1"/>
    <col min="66" max="66" width="27.5" style="83" bestFit="1" customWidth="1"/>
    <col min="67" max="67" width="19.5" style="83" bestFit="1" customWidth="1"/>
    <col min="68" max="68" width="34" style="83" bestFit="1" customWidth="1"/>
    <col min="69" max="69" width="39.33203125" style="83" bestFit="1" customWidth="1"/>
    <col min="70" max="70" width="27" style="83" bestFit="1" customWidth="1"/>
    <col min="71" max="71" width="35.33203125" style="83" bestFit="1" customWidth="1"/>
    <col min="72" max="73" width="37.1640625" style="83" bestFit="1" customWidth="1"/>
    <col min="74" max="74" width="41.1640625" style="83" bestFit="1" customWidth="1"/>
    <col min="75" max="75" width="30.1640625" style="83" bestFit="1" customWidth="1"/>
    <col min="76" max="76" width="15.1640625" style="83" bestFit="1" customWidth="1"/>
    <col min="77" max="77" width="46.6640625" style="83" bestFit="1" customWidth="1"/>
    <col min="78" max="78" width="39.6640625" style="83" bestFit="1" customWidth="1"/>
    <col min="79" max="79" width="41.6640625" style="83" bestFit="1" customWidth="1"/>
    <col min="80" max="80" width="39.83203125" style="83" bestFit="1" customWidth="1"/>
    <col min="81" max="81" width="34.1640625" style="83" bestFit="1" customWidth="1"/>
    <col min="82" max="82" width="17" style="83" bestFit="1" customWidth="1"/>
    <col min="83" max="83" width="46.5" style="83" bestFit="1" customWidth="1"/>
    <col min="84" max="84" width="46" style="83" bestFit="1" customWidth="1"/>
    <col min="85" max="85" width="21.83203125" style="83" bestFit="1" customWidth="1"/>
    <col min="86" max="86" width="48.1640625" style="83" bestFit="1" customWidth="1"/>
    <col min="87" max="87" width="37.6640625" style="83" bestFit="1" customWidth="1"/>
    <col min="88" max="88" width="17.5" style="83" bestFit="1" customWidth="1"/>
    <col min="89" max="89" width="19.5" style="83" bestFit="1" customWidth="1"/>
    <col min="90" max="90" width="29" style="83" bestFit="1" customWidth="1"/>
    <col min="91" max="91" width="27.5" style="83" bestFit="1" customWidth="1"/>
    <col min="92" max="92" width="18.6640625" style="83" bestFit="1" customWidth="1"/>
    <col min="93" max="93" width="14.33203125" style="83" bestFit="1" customWidth="1"/>
    <col min="94" max="94" width="45.5" style="83" bestFit="1" customWidth="1"/>
    <col min="95" max="95" width="41.83203125" style="83" bestFit="1" customWidth="1"/>
    <col min="96" max="96" width="18" style="83" bestFit="1" customWidth="1"/>
    <col min="97" max="97" width="23.33203125" style="83" bestFit="1" customWidth="1"/>
    <col min="98" max="98" width="29.5" style="83" bestFit="1" customWidth="1"/>
    <col min="99" max="99" width="52.83203125" style="83" bestFit="1" customWidth="1"/>
    <col min="100" max="100" width="53.1640625" style="83" bestFit="1" customWidth="1"/>
    <col min="101" max="101" width="17.5" style="83" bestFit="1" customWidth="1"/>
    <col min="102" max="102" width="50.5" style="83" bestFit="1" customWidth="1"/>
    <col min="103" max="103" width="39.6640625" style="83" bestFit="1" customWidth="1"/>
    <col min="104" max="16384" width="10.83203125" style="83"/>
  </cols>
  <sheetData>
    <row r="2" spans="1:20" s="85" customFormat="1" ht="18" hidden="1">
      <c r="B2" s="86" t="s">
        <v>696</v>
      </c>
    </row>
    <row r="3" spans="1:20" s="88" customFormat="1" ht="72">
      <c r="A3" s="95" t="s">
        <v>600</v>
      </c>
      <c r="B3" s="87" t="s">
        <v>637</v>
      </c>
      <c r="C3" s="87" t="s">
        <v>700</v>
      </c>
      <c r="D3" s="87" t="s">
        <v>697</v>
      </c>
      <c r="E3" s="87" t="s">
        <v>698</v>
      </c>
      <c r="F3" s="87" t="s">
        <v>699</v>
      </c>
      <c r="G3" s="87" t="s">
        <v>701</v>
      </c>
      <c r="H3" s="87" t="s">
        <v>703</v>
      </c>
      <c r="I3" s="87" t="s">
        <v>704</v>
      </c>
      <c r="J3" s="87" t="s">
        <v>711</v>
      </c>
      <c r="K3" s="87" t="s">
        <v>712</v>
      </c>
      <c r="L3" s="87" t="s">
        <v>713</v>
      </c>
      <c r="M3" s="87" t="s">
        <v>714</v>
      </c>
      <c r="N3" s="87" t="s">
        <v>715</v>
      </c>
      <c r="O3" s="87" t="s">
        <v>716</v>
      </c>
      <c r="P3" s="87" t="s">
        <v>717</v>
      </c>
      <c r="Q3" s="87" t="s">
        <v>718</v>
      </c>
      <c r="R3" s="87" t="s">
        <v>719</v>
      </c>
      <c r="S3" s="87" t="s">
        <v>634</v>
      </c>
      <c r="T3" s="87" t="s">
        <v>720</v>
      </c>
    </row>
    <row r="4" spans="1:20" s="85" customFormat="1" ht="18">
      <c r="A4" s="89" t="s">
        <v>721</v>
      </c>
      <c r="B4" s="90">
        <v>13</v>
      </c>
      <c r="C4" s="91">
        <v>453.84615384615387</v>
      </c>
      <c r="D4" s="91">
        <v>575.84615384615381</v>
      </c>
      <c r="E4" s="92">
        <v>17</v>
      </c>
      <c r="F4" s="91">
        <v>33.873303167420815</v>
      </c>
      <c r="G4" s="93">
        <v>4.0372670807453416E-2</v>
      </c>
      <c r="H4" s="92">
        <v>5.615384615384615</v>
      </c>
      <c r="I4" s="92">
        <v>4</v>
      </c>
      <c r="J4" s="94">
        <v>9.5022624434389136E-2</v>
      </c>
      <c r="K4" s="94">
        <v>0.14479638009049775</v>
      </c>
      <c r="L4" s="94">
        <v>0.34389140271493213</v>
      </c>
      <c r="M4" s="94">
        <v>0.17194570135746606</v>
      </c>
      <c r="N4" s="94">
        <v>5.4298642533936653E-2</v>
      </c>
      <c r="O4" s="94">
        <v>9.0497737556561094E-3</v>
      </c>
      <c r="P4" s="94">
        <v>0</v>
      </c>
      <c r="Q4" s="94">
        <v>0</v>
      </c>
      <c r="R4" s="94">
        <v>0</v>
      </c>
      <c r="S4" s="94">
        <v>0</v>
      </c>
      <c r="T4" s="94">
        <v>0.18099547511312217</v>
      </c>
    </row>
    <row r="5" spans="1:20" s="85" customFormat="1" ht="18">
      <c r="A5" s="89" t="s">
        <v>722</v>
      </c>
      <c r="B5" s="90">
        <v>70</v>
      </c>
      <c r="C5" s="91">
        <v>3260.5285714285715</v>
      </c>
      <c r="D5" s="91">
        <v>3813.7142857142858</v>
      </c>
      <c r="E5" s="92">
        <v>68.528571428571425</v>
      </c>
      <c r="F5" s="91">
        <v>55.651448822180527</v>
      </c>
      <c r="G5" s="93">
        <v>8.3546684779769065E-2</v>
      </c>
      <c r="H5" s="92">
        <v>9.1285714285714281</v>
      </c>
      <c r="I5" s="92">
        <v>7.0428571428571427</v>
      </c>
      <c r="J5" s="94">
        <v>5.315822388993121E-2</v>
      </c>
      <c r="K5" s="94">
        <v>0.13633520950594122</v>
      </c>
      <c r="L5" s="94">
        <v>0.3800291849072337</v>
      </c>
      <c r="M5" s="94">
        <v>0.18407337919533043</v>
      </c>
      <c r="N5" s="94">
        <v>9.4017094017094016E-2</v>
      </c>
      <c r="O5" s="94">
        <v>3.1269543464665414E-2</v>
      </c>
      <c r="P5" s="94">
        <v>1.4175526370648322E-2</v>
      </c>
      <c r="Q5" s="94">
        <v>2.5015634771732333E-3</v>
      </c>
      <c r="R5" s="94">
        <v>4.1692724619553888E-4</v>
      </c>
      <c r="S5" s="94">
        <v>0</v>
      </c>
      <c r="T5" s="94">
        <v>0.10402334792578695</v>
      </c>
    </row>
    <row r="6" spans="1:20" s="85" customFormat="1" ht="18">
      <c r="A6" s="89" t="s">
        <v>723</v>
      </c>
      <c r="B6" s="90">
        <v>12</v>
      </c>
      <c r="C6" s="91">
        <v>9522.5833333333339</v>
      </c>
      <c r="D6" s="91">
        <v>13546.75</v>
      </c>
      <c r="E6" s="92">
        <v>195.58333333333334</v>
      </c>
      <c r="F6" s="91">
        <v>69.263314870046869</v>
      </c>
      <c r="G6" s="93">
        <v>0.14067369935267321</v>
      </c>
      <c r="H6" s="92">
        <v>14.75</v>
      </c>
      <c r="I6" s="92">
        <v>11.083333333333334</v>
      </c>
      <c r="J6" s="94">
        <v>0.15210907541542396</v>
      </c>
      <c r="K6" s="94">
        <v>8.7771623348956121E-2</v>
      </c>
      <c r="L6" s="94">
        <v>0.33574776310183213</v>
      </c>
      <c r="M6" s="94">
        <v>0.18193438432040904</v>
      </c>
      <c r="N6" s="94">
        <v>0.11077971878994461</v>
      </c>
      <c r="O6" s="94">
        <v>3.7068598210481467E-2</v>
      </c>
      <c r="P6" s="94">
        <v>1.3208351086493396E-2</v>
      </c>
      <c r="Q6" s="94">
        <v>5.9650617809970177E-3</v>
      </c>
      <c r="R6" s="94">
        <v>1.2782275244993609E-3</v>
      </c>
      <c r="S6" s="94">
        <v>8.5215168299957388E-4</v>
      </c>
      <c r="T6" s="94">
        <v>7.3285044737963351E-2</v>
      </c>
    </row>
    <row r="7" spans="1:20" s="85" customFormat="1" ht="18">
      <c r="A7" s="89" t="s">
        <v>724</v>
      </c>
      <c r="B7" s="90">
        <v>5</v>
      </c>
      <c r="C7" s="91">
        <v>17900</v>
      </c>
      <c r="D7" s="91">
        <v>22973.8</v>
      </c>
      <c r="E7" s="92">
        <v>321.39999999999998</v>
      </c>
      <c r="F7" s="91">
        <v>71.480398257622895</v>
      </c>
      <c r="G7" s="93">
        <v>0.42569536423841059</v>
      </c>
      <c r="H7" s="92">
        <v>16.399999999999999</v>
      </c>
      <c r="I7" s="92">
        <v>12.4</v>
      </c>
      <c r="J7" s="94">
        <v>1.0578718108276292E-2</v>
      </c>
      <c r="K7" s="94">
        <v>0.12570006222775357</v>
      </c>
      <c r="L7" s="94">
        <v>0.39514623522090853</v>
      </c>
      <c r="M7" s="94">
        <v>0.30242688238954574</v>
      </c>
      <c r="N7" s="94">
        <v>6.7828251400124454E-2</v>
      </c>
      <c r="O7" s="94">
        <v>2.924704418170504E-2</v>
      </c>
      <c r="P7" s="94">
        <v>8.0896079651524583E-3</v>
      </c>
      <c r="Q7" s="94">
        <v>3.7336652146857498E-3</v>
      </c>
      <c r="R7" s="94">
        <v>6.222775357809583E-4</v>
      </c>
      <c r="S7" s="94">
        <v>1.2445550715619166E-3</v>
      </c>
      <c r="T7" s="94">
        <v>5.5382700684505293E-2</v>
      </c>
    </row>
    <row r="8" spans="1:20" s="85" customFormat="1" ht="18">
      <c r="A8" s="89" t="s">
        <v>598</v>
      </c>
      <c r="B8" s="90">
        <v>100</v>
      </c>
      <c r="C8" s="91">
        <v>4379.08</v>
      </c>
      <c r="D8" s="91">
        <v>5518.76</v>
      </c>
      <c r="E8" s="92">
        <v>89.72</v>
      </c>
      <c r="F8" s="91">
        <v>61.510922871154705</v>
      </c>
      <c r="G8" s="93">
        <v>0.10764247150569886</v>
      </c>
      <c r="H8" s="92">
        <v>9.7100000000000009</v>
      </c>
      <c r="I8" s="92">
        <v>7.4</v>
      </c>
      <c r="J8" s="94">
        <v>7.2447614801604998E-2</v>
      </c>
      <c r="K8" s="94">
        <v>0.12193490860454748</v>
      </c>
      <c r="L8" s="94">
        <v>0.37026304057066428</v>
      </c>
      <c r="M8" s="94">
        <v>0.20441373160945162</v>
      </c>
      <c r="N8" s="94">
        <v>9.2732946946054398E-2</v>
      </c>
      <c r="O8" s="94">
        <v>3.1876950512706198E-2</v>
      </c>
      <c r="P8" s="94">
        <v>1.2483281319661168E-2</v>
      </c>
      <c r="Q8" s="94">
        <v>3.5666518056174765E-3</v>
      </c>
      <c r="R8" s="94">
        <v>6.6874721355327687E-4</v>
      </c>
      <c r="S8" s="94">
        <v>4.4583147570218456E-4</v>
      </c>
      <c r="T8" s="94">
        <v>8.9166295140436919E-2</v>
      </c>
    </row>
    <row r="39" spans="1:2">
      <c r="A39" s="84" t="s">
        <v>679</v>
      </c>
    </row>
    <row r="40" spans="1:2">
      <c r="A40" s="83" t="s">
        <v>678</v>
      </c>
      <c r="B40" s="83" t="s">
        <v>680</v>
      </c>
    </row>
    <row r="41" spans="1:2">
      <c r="A41" s="83" t="s">
        <v>637</v>
      </c>
      <c r="B41" s="83" t="s">
        <v>681</v>
      </c>
    </row>
    <row r="42" spans="1:2">
      <c r="A42" s="83" t="s">
        <v>2</v>
      </c>
      <c r="B42" s="83" t="s">
        <v>682</v>
      </c>
    </row>
    <row r="43" spans="1:2">
      <c r="A43" s="83" t="s">
        <v>3</v>
      </c>
      <c r="B43" s="83" t="s">
        <v>683</v>
      </c>
    </row>
    <row r="44" spans="1:2">
      <c r="A44" s="83" t="s">
        <v>684</v>
      </c>
      <c r="B44" s="83" t="s">
        <v>685</v>
      </c>
    </row>
    <row r="45" spans="1:2">
      <c r="A45" s="83" t="s">
        <v>603</v>
      </c>
      <c r="B45" s="83" t="s">
        <v>686</v>
      </c>
    </row>
    <row r="46" spans="1:2">
      <c r="A46" s="83" t="s">
        <v>635</v>
      </c>
      <c r="B46" s="83" t="s">
        <v>687</v>
      </c>
    </row>
    <row r="47" spans="1:2">
      <c r="A47" s="83" t="s">
        <v>636</v>
      </c>
      <c r="B47" s="83" t="s">
        <v>688</v>
      </c>
    </row>
    <row r="48" spans="1:2">
      <c r="A48" s="83" t="s">
        <v>689</v>
      </c>
      <c r="B48" s="83" t="s">
        <v>708</v>
      </c>
    </row>
  </sheetData>
  <phoneticPr fontId="10" type="noConversion"/>
  <pageMargins left="0.75" right="0.75" top="1" bottom="1" header="0.5" footer="0.5"/>
  <pageSetup scale="54" orientation="portrait" horizontalDpi="4294967292" verticalDpi="4294967292"/>
  <colBreaks count="1" manualBreakCount="1">
    <brk id="20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Info</vt:lpstr>
      <vt:lpstr>Data</vt:lpstr>
      <vt:lpstr>Summary </vt:lpstr>
      <vt:lpstr>Sample Budget</vt:lpstr>
      <vt:lpstr>Goal Calculation</vt:lpstr>
      <vt:lpstr>Goals</vt:lpstr>
      <vt:lpstr>pledge category chart</vt:lpstr>
      <vt:lpstr>avg pledge per backer</vt:lpstr>
      <vt:lpstr>distribution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Budgeting for Crowdfunding Rewards</dc:title>
  <dc:subject>Crowdfunding</dc:subject>
  <dc:creator>Luiz Augusto Buff and Peter Alhadeff</dc:creator>
  <cp:keywords/>
  <dc:description>© 2013.</dc:description>
  <cp:lastModifiedBy>Luiz Augusto Buff de Souza e Silva</cp:lastModifiedBy>
  <cp:lastPrinted>2013-09-07T18:03:44Z</cp:lastPrinted>
  <dcterms:created xsi:type="dcterms:W3CDTF">2013-02-22T01:24:39Z</dcterms:created>
  <dcterms:modified xsi:type="dcterms:W3CDTF">2013-09-07T19:42:52Z</dcterms:modified>
  <cp:category/>
</cp:coreProperties>
</file>